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aakrour_crosemont_qc_ca/Documents/Documents/"/>
    </mc:Choice>
  </mc:AlternateContent>
  <xr:revisionPtr revIDLastSave="0" documentId="8_{9B0D054C-A439-46BF-A507-6D03BB28F2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PETU023 - Liste détudiants 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C2" i="1"/>
  <c r="J2" i="1"/>
  <c r="A3" i="1"/>
  <c r="C3" i="1"/>
  <c r="J3" i="1"/>
  <c r="A3065" i="1"/>
  <c r="A4" i="1"/>
  <c r="C4" i="1"/>
  <c r="J4" i="1"/>
  <c r="A5" i="1"/>
  <c r="C5" i="1"/>
  <c r="J5" i="1"/>
  <c r="A3066" i="1"/>
  <c r="A6" i="1"/>
  <c r="C6" i="1"/>
  <c r="D6" i="1"/>
  <c r="J6" i="1"/>
  <c r="A3067" i="1"/>
  <c r="A7" i="1"/>
  <c r="C7" i="1"/>
  <c r="J7" i="1"/>
  <c r="A8" i="1"/>
  <c r="C8" i="1"/>
  <c r="D8" i="1"/>
  <c r="J8" i="1"/>
  <c r="A9" i="1"/>
  <c r="C9" i="1"/>
  <c r="J9" i="1"/>
  <c r="A10" i="1"/>
  <c r="C10" i="1"/>
  <c r="D10" i="1"/>
  <c r="J10" i="1"/>
  <c r="A11" i="1"/>
  <c r="C11" i="1"/>
  <c r="D11" i="1"/>
  <c r="J11" i="1"/>
  <c r="A3068" i="1"/>
  <c r="A12" i="1"/>
  <c r="C12" i="1"/>
  <c r="D12" i="1"/>
  <c r="J12" i="1"/>
  <c r="A2708" i="1"/>
  <c r="A2709" i="1"/>
  <c r="A2710" i="1"/>
  <c r="A13" i="1"/>
  <c r="C13" i="1"/>
  <c r="J13" i="1"/>
  <c r="A14" i="1"/>
  <c r="C14" i="1"/>
  <c r="D14" i="1"/>
  <c r="J14" i="1"/>
  <c r="A2711" i="1"/>
  <c r="A3069" i="1"/>
  <c r="A2712" i="1"/>
  <c r="A15" i="1"/>
  <c r="C15" i="1"/>
  <c r="J15" i="1"/>
  <c r="A16" i="1"/>
  <c r="C16" i="1"/>
  <c r="D16" i="1"/>
  <c r="J16" i="1"/>
  <c r="A17" i="1"/>
  <c r="C17" i="1"/>
  <c r="D17" i="1"/>
  <c r="J17" i="1"/>
  <c r="A18" i="1"/>
  <c r="C18" i="1"/>
  <c r="D18" i="1"/>
  <c r="J18" i="1"/>
  <c r="A19" i="1"/>
  <c r="C19" i="1"/>
  <c r="J19" i="1"/>
  <c r="A20" i="1"/>
  <c r="C20" i="1"/>
  <c r="D20" i="1"/>
  <c r="J20" i="1"/>
  <c r="A21" i="1"/>
  <c r="C21" i="1"/>
  <c r="J21" i="1"/>
  <c r="A3070" i="1"/>
  <c r="A22" i="1"/>
  <c r="C22" i="1"/>
  <c r="J22" i="1"/>
  <c r="A23" i="1"/>
  <c r="C23" i="1"/>
  <c r="D23" i="1"/>
  <c r="J23" i="1"/>
  <c r="A24" i="1"/>
  <c r="C24" i="1"/>
  <c r="D24" i="1"/>
  <c r="J24" i="1"/>
  <c r="A2713" i="1"/>
  <c r="A25" i="1"/>
  <c r="C25" i="1"/>
  <c r="D25" i="1"/>
  <c r="J25" i="1"/>
  <c r="A26" i="1"/>
  <c r="C26" i="1"/>
  <c r="J26" i="1"/>
  <c r="A2714" i="1"/>
  <c r="A3071" i="1"/>
  <c r="A27" i="1"/>
  <c r="C27" i="1"/>
  <c r="J27" i="1"/>
  <c r="A28" i="1"/>
  <c r="C28" i="1"/>
  <c r="J28" i="1"/>
  <c r="A29" i="1"/>
  <c r="C29" i="1"/>
  <c r="D29" i="1"/>
  <c r="J29" i="1"/>
  <c r="A30" i="1"/>
  <c r="C30" i="1"/>
  <c r="D30" i="1"/>
  <c r="J30" i="1"/>
  <c r="A31" i="1"/>
  <c r="C31" i="1"/>
  <c r="J31" i="1"/>
  <c r="A3072" i="1"/>
  <c r="A32" i="1"/>
  <c r="C32" i="1"/>
  <c r="J32" i="1"/>
  <c r="A33" i="1"/>
  <c r="C33" i="1"/>
  <c r="J33" i="1"/>
  <c r="A34" i="1"/>
  <c r="C34" i="1"/>
  <c r="J34" i="1"/>
  <c r="A2715" i="1"/>
  <c r="A35" i="1"/>
  <c r="C35" i="1"/>
  <c r="J35" i="1"/>
  <c r="A36" i="1"/>
  <c r="C36" i="1"/>
  <c r="J36" i="1"/>
  <c r="A37" i="1"/>
  <c r="C37" i="1"/>
  <c r="J37" i="1"/>
  <c r="A38" i="1"/>
  <c r="C38" i="1"/>
  <c r="D38" i="1"/>
  <c r="J38" i="1"/>
  <c r="A39" i="1"/>
  <c r="C39" i="1"/>
  <c r="D39" i="1"/>
  <c r="J39" i="1"/>
  <c r="A40" i="1"/>
  <c r="C40" i="1"/>
  <c r="J40" i="1"/>
  <c r="A41" i="1"/>
  <c r="C41" i="1"/>
  <c r="D41" i="1"/>
  <c r="J41" i="1"/>
  <c r="A42" i="1"/>
  <c r="C42" i="1"/>
  <c r="D42" i="1"/>
  <c r="J42" i="1"/>
  <c r="A43" i="1"/>
  <c r="C43" i="1"/>
  <c r="J43" i="1"/>
  <c r="A44" i="1"/>
  <c r="C44" i="1"/>
  <c r="D44" i="1"/>
  <c r="J44" i="1"/>
  <c r="A3073" i="1"/>
  <c r="A45" i="1"/>
  <c r="C45" i="1"/>
  <c r="D45" i="1"/>
  <c r="J45" i="1"/>
  <c r="A3074" i="1"/>
  <c r="A2716" i="1"/>
  <c r="A46" i="1"/>
  <c r="C46" i="1"/>
  <c r="J46" i="1"/>
  <c r="A47" i="1"/>
  <c r="C47" i="1"/>
  <c r="J47" i="1"/>
  <c r="A48" i="1"/>
  <c r="C48" i="1"/>
  <c r="J48" i="1"/>
  <c r="A49" i="1"/>
  <c r="C49" i="1"/>
  <c r="D49" i="1"/>
  <c r="J49" i="1"/>
  <c r="A2717" i="1"/>
  <c r="A50" i="1"/>
  <c r="C50" i="1"/>
  <c r="D50" i="1"/>
  <c r="J50" i="1"/>
  <c r="A51" i="1"/>
  <c r="C51" i="1"/>
  <c r="J51" i="1"/>
  <c r="A52" i="1"/>
  <c r="C52" i="1"/>
  <c r="D52" i="1"/>
  <c r="J52" i="1"/>
  <c r="A53" i="1"/>
  <c r="C53" i="1"/>
  <c r="J53" i="1"/>
  <c r="A54" i="1"/>
  <c r="C54" i="1"/>
  <c r="D54" i="1"/>
  <c r="J54" i="1"/>
  <c r="A2718" i="1"/>
  <c r="A55" i="1"/>
  <c r="C55" i="1"/>
  <c r="J55" i="1"/>
  <c r="A56" i="1"/>
  <c r="C56" i="1"/>
  <c r="D56" i="1"/>
  <c r="J56" i="1"/>
  <c r="A57" i="1"/>
  <c r="C57" i="1"/>
  <c r="J57" i="1"/>
  <c r="A58" i="1"/>
  <c r="C58" i="1"/>
  <c r="J58" i="1"/>
  <c r="A59" i="1"/>
  <c r="C59" i="1"/>
  <c r="D59" i="1"/>
  <c r="J59" i="1"/>
  <c r="A60" i="1"/>
  <c r="C60" i="1"/>
  <c r="D60" i="1"/>
  <c r="J60" i="1"/>
  <c r="A61" i="1"/>
  <c r="C61" i="1"/>
  <c r="J61" i="1"/>
  <c r="A3075" i="1"/>
  <c r="A2719" i="1"/>
  <c r="A62" i="1"/>
  <c r="C62" i="1"/>
  <c r="J62" i="1"/>
  <c r="A2720" i="1"/>
  <c r="A63" i="1"/>
  <c r="C63" i="1"/>
  <c r="D63" i="1"/>
  <c r="J63" i="1"/>
  <c r="A64" i="1"/>
  <c r="C64" i="1"/>
  <c r="J64" i="1"/>
  <c r="A65" i="1"/>
  <c r="C65" i="1"/>
  <c r="J65" i="1"/>
  <c r="A2721" i="1"/>
  <c r="A66" i="1"/>
  <c r="C66" i="1"/>
  <c r="D66" i="1"/>
  <c r="J66" i="1"/>
  <c r="A67" i="1"/>
  <c r="C67" i="1"/>
  <c r="J67" i="1"/>
  <c r="A68" i="1"/>
  <c r="C68" i="1"/>
  <c r="J68" i="1"/>
  <c r="A69" i="1"/>
  <c r="C69" i="1"/>
  <c r="J69" i="1"/>
  <c r="A70" i="1"/>
  <c r="C70" i="1"/>
  <c r="J70" i="1"/>
  <c r="A71" i="1"/>
  <c r="C71" i="1"/>
  <c r="J71" i="1"/>
  <c r="A72" i="1"/>
  <c r="C72" i="1"/>
  <c r="D72" i="1"/>
  <c r="J72" i="1"/>
  <c r="A73" i="1"/>
  <c r="C73" i="1"/>
  <c r="J73" i="1"/>
  <c r="A74" i="1"/>
  <c r="C74" i="1"/>
  <c r="J74" i="1"/>
  <c r="A75" i="1"/>
  <c r="C75" i="1"/>
  <c r="D75" i="1"/>
  <c r="J75" i="1"/>
  <c r="A76" i="1"/>
  <c r="C76" i="1"/>
  <c r="D76" i="1"/>
  <c r="J76" i="1"/>
  <c r="A77" i="1"/>
  <c r="C77" i="1"/>
  <c r="D77" i="1"/>
  <c r="J77" i="1"/>
  <c r="A78" i="1"/>
  <c r="C78" i="1"/>
  <c r="D78" i="1"/>
  <c r="J78" i="1"/>
  <c r="A79" i="1"/>
  <c r="C79" i="1"/>
  <c r="J79" i="1"/>
  <c r="A80" i="1"/>
  <c r="C80" i="1"/>
  <c r="J80" i="1"/>
  <c r="A81" i="1"/>
  <c r="C81" i="1"/>
  <c r="D81" i="1"/>
  <c r="J81" i="1"/>
  <c r="A82" i="1"/>
  <c r="C82" i="1"/>
  <c r="J82" i="1"/>
  <c r="A83" i="1"/>
  <c r="C83" i="1"/>
  <c r="J83" i="1"/>
  <c r="A84" i="1"/>
  <c r="C84" i="1"/>
  <c r="D84" i="1"/>
  <c r="J84" i="1"/>
  <c r="A85" i="1"/>
  <c r="C85" i="1"/>
  <c r="J85" i="1"/>
  <c r="A86" i="1"/>
  <c r="C86" i="1"/>
  <c r="D86" i="1"/>
  <c r="J86" i="1"/>
  <c r="A87" i="1"/>
  <c r="C87" i="1"/>
  <c r="J87" i="1"/>
  <c r="A88" i="1"/>
  <c r="C88" i="1"/>
  <c r="J88" i="1"/>
  <c r="A89" i="1"/>
  <c r="C89" i="1"/>
  <c r="J89" i="1"/>
  <c r="A90" i="1"/>
  <c r="C90" i="1"/>
  <c r="J90" i="1"/>
  <c r="A91" i="1"/>
  <c r="C91" i="1"/>
  <c r="D91" i="1"/>
  <c r="J91" i="1"/>
  <c r="A2722" i="1"/>
  <c r="A2723" i="1"/>
  <c r="A2724" i="1"/>
  <c r="A92" i="1"/>
  <c r="C92" i="1"/>
  <c r="J92" i="1"/>
  <c r="A2725" i="1"/>
  <c r="A93" i="1"/>
  <c r="C93" i="1"/>
  <c r="D93" i="1"/>
  <c r="J93" i="1"/>
  <c r="A2726" i="1"/>
  <c r="A94" i="1"/>
  <c r="C94" i="1"/>
  <c r="J94" i="1"/>
  <c r="A95" i="1"/>
  <c r="C95" i="1"/>
  <c r="D95" i="1"/>
  <c r="J95" i="1"/>
  <c r="A96" i="1"/>
  <c r="C96" i="1"/>
  <c r="D96" i="1"/>
  <c r="J96" i="1"/>
  <c r="A97" i="1"/>
  <c r="C97" i="1"/>
  <c r="D97" i="1"/>
  <c r="J97" i="1"/>
  <c r="A98" i="1"/>
  <c r="C98" i="1"/>
  <c r="J98" i="1"/>
  <c r="A99" i="1"/>
  <c r="C99" i="1"/>
  <c r="D99" i="1"/>
  <c r="J99" i="1"/>
  <c r="A100" i="1"/>
  <c r="C100" i="1"/>
  <c r="J100" i="1"/>
  <c r="A101" i="1"/>
  <c r="C101" i="1"/>
  <c r="J101" i="1"/>
  <c r="A102" i="1"/>
  <c r="C102" i="1"/>
  <c r="J102" i="1"/>
  <c r="A103" i="1"/>
  <c r="C103" i="1"/>
  <c r="J103" i="1"/>
  <c r="A2727" i="1"/>
  <c r="A2728" i="1"/>
  <c r="A104" i="1"/>
  <c r="C104" i="1"/>
  <c r="J104" i="1"/>
  <c r="A105" i="1"/>
  <c r="C105" i="1"/>
  <c r="J105" i="1"/>
  <c r="A106" i="1"/>
  <c r="C106" i="1"/>
  <c r="J106" i="1"/>
  <c r="A2729" i="1"/>
  <c r="A2730" i="1"/>
  <c r="A107" i="1"/>
  <c r="C107" i="1"/>
  <c r="J107" i="1"/>
  <c r="A108" i="1"/>
  <c r="C108" i="1"/>
  <c r="J108" i="1"/>
  <c r="A109" i="1"/>
  <c r="C109" i="1"/>
  <c r="J109" i="1"/>
  <c r="A110" i="1"/>
  <c r="C110" i="1"/>
  <c r="D110" i="1"/>
  <c r="J110" i="1"/>
  <c r="A111" i="1"/>
  <c r="C111" i="1"/>
  <c r="J111" i="1"/>
  <c r="A112" i="1"/>
  <c r="C112" i="1"/>
  <c r="D112" i="1"/>
  <c r="J112" i="1"/>
  <c r="A113" i="1"/>
  <c r="C113" i="1"/>
  <c r="J113" i="1"/>
  <c r="A114" i="1"/>
  <c r="C114" i="1"/>
  <c r="D114" i="1"/>
  <c r="J114" i="1"/>
  <c r="A115" i="1"/>
  <c r="C115" i="1"/>
  <c r="D115" i="1"/>
  <c r="J115" i="1"/>
  <c r="A116" i="1"/>
  <c r="C116" i="1"/>
  <c r="D116" i="1"/>
  <c r="J116" i="1"/>
  <c r="A117" i="1"/>
  <c r="C117" i="1"/>
  <c r="D117" i="1"/>
  <c r="J117" i="1"/>
  <c r="A2731" i="1"/>
  <c r="A118" i="1"/>
  <c r="C118" i="1"/>
  <c r="J118" i="1"/>
  <c r="A119" i="1"/>
  <c r="C119" i="1"/>
  <c r="J119" i="1"/>
  <c r="A2732" i="1"/>
  <c r="A120" i="1"/>
  <c r="C120" i="1"/>
  <c r="J120" i="1"/>
  <c r="A121" i="1"/>
  <c r="C121" i="1"/>
  <c r="D121" i="1"/>
  <c r="J121" i="1"/>
  <c r="A2733" i="1"/>
  <c r="A122" i="1"/>
  <c r="C122" i="1"/>
  <c r="J122" i="1"/>
  <c r="A123" i="1"/>
  <c r="C123" i="1"/>
  <c r="J123" i="1"/>
  <c r="A124" i="1"/>
  <c r="C124" i="1"/>
  <c r="D124" i="1"/>
  <c r="J124" i="1"/>
  <c r="A125" i="1"/>
  <c r="C125" i="1"/>
  <c r="J125" i="1"/>
  <c r="A126" i="1"/>
  <c r="C126" i="1"/>
  <c r="J126" i="1"/>
  <c r="A127" i="1"/>
  <c r="C127" i="1"/>
  <c r="D127" i="1"/>
  <c r="J127" i="1"/>
  <c r="A3076" i="1"/>
  <c r="A128" i="1"/>
  <c r="C128" i="1"/>
  <c r="J128" i="1"/>
  <c r="A2734" i="1"/>
  <c r="A129" i="1"/>
  <c r="C129" i="1"/>
  <c r="J129" i="1"/>
  <c r="A3077" i="1"/>
  <c r="A130" i="1"/>
  <c r="C130" i="1"/>
  <c r="J130" i="1"/>
  <c r="A131" i="1"/>
  <c r="C131" i="1"/>
  <c r="J131" i="1"/>
  <c r="A132" i="1"/>
  <c r="C132" i="1"/>
  <c r="D132" i="1"/>
  <c r="J132" i="1"/>
  <c r="A3078" i="1"/>
  <c r="A133" i="1"/>
  <c r="C133" i="1"/>
  <c r="J133" i="1"/>
  <c r="A3079" i="1"/>
  <c r="A134" i="1"/>
  <c r="C134" i="1"/>
  <c r="J134" i="1"/>
  <c r="A3080" i="1"/>
  <c r="A135" i="1"/>
  <c r="C135" i="1"/>
  <c r="J135" i="1"/>
  <c r="A136" i="1"/>
  <c r="C136" i="1"/>
  <c r="D136" i="1"/>
  <c r="J136" i="1"/>
  <c r="A137" i="1"/>
  <c r="C137" i="1"/>
  <c r="D137" i="1"/>
  <c r="J137" i="1"/>
  <c r="A2735" i="1"/>
  <c r="A138" i="1"/>
  <c r="C138" i="1"/>
  <c r="D138" i="1"/>
  <c r="J138" i="1"/>
  <c r="A139" i="1"/>
  <c r="C139" i="1"/>
  <c r="D139" i="1"/>
  <c r="J139" i="1"/>
  <c r="A140" i="1"/>
  <c r="C140" i="1"/>
  <c r="D140" i="1"/>
  <c r="J140" i="1"/>
  <c r="A141" i="1"/>
  <c r="C141" i="1"/>
  <c r="J141" i="1"/>
  <c r="A142" i="1"/>
  <c r="C142" i="1"/>
  <c r="J142" i="1"/>
  <c r="A143" i="1"/>
  <c r="C143" i="1"/>
  <c r="J143" i="1"/>
  <c r="A144" i="1"/>
  <c r="C144" i="1"/>
  <c r="J144" i="1"/>
  <c r="A2736" i="1"/>
  <c r="A3081" i="1"/>
  <c r="A145" i="1"/>
  <c r="C145" i="1"/>
  <c r="D145" i="1"/>
  <c r="J145" i="1"/>
  <c r="A3082" i="1"/>
  <c r="A146" i="1"/>
  <c r="C146" i="1"/>
  <c r="J146" i="1"/>
  <c r="A3083" i="1"/>
  <c r="A147" i="1"/>
  <c r="C147" i="1"/>
  <c r="D147" i="1"/>
  <c r="J147" i="1"/>
  <c r="A2737" i="1"/>
  <c r="A148" i="1"/>
  <c r="C148" i="1"/>
  <c r="D148" i="1"/>
  <c r="J148" i="1"/>
  <c r="A149" i="1"/>
  <c r="C149" i="1"/>
  <c r="D149" i="1"/>
  <c r="J149" i="1"/>
  <c r="A150" i="1"/>
  <c r="C150" i="1"/>
  <c r="J150" i="1"/>
  <c r="A151" i="1"/>
  <c r="C151" i="1"/>
  <c r="D151" i="1"/>
  <c r="J151" i="1"/>
  <c r="A152" i="1"/>
  <c r="C152" i="1"/>
  <c r="J152" i="1"/>
  <c r="A153" i="1"/>
  <c r="C153" i="1"/>
  <c r="J153" i="1"/>
  <c r="A154" i="1"/>
  <c r="C154" i="1"/>
  <c r="J154" i="1"/>
  <c r="A155" i="1"/>
  <c r="C155" i="1"/>
  <c r="D155" i="1"/>
  <c r="J155" i="1"/>
  <c r="A156" i="1"/>
  <c r="C156" i="1"/>
  <c r="D156" i="1"/>
  <c r="J156" i="1"/>
  <c r="A2738" i="1"/>
  <c r="A157" i="1"/>
  <c r="C157" i="1"/>
  <c r="J157" i="1"/>
  <c r="A158" i="1"/>
  <c r="C158" i="1"/>
  <c r="J158" i="1"/>
  <c r="A159" i="1"/>
  <c r="C159" i="1"/>
  <c r="J159" i="1"/>
  <c r="A160" i="1"/>
  <c r="C160" i="1"/>
  <c r="J160" i="1"/>
  <c r="A161" i="1"/>
  <c r="C161" i="1"/>
  <c r="J161" i="1"/>
  <c r="A162" i="1"/>
  <c r="C162" i="1"/>
  <c r="D162" i="1"/>
  <c r="J162" i="1"/>
  <c r="A163" i="1"/>
  <c r="C163" i="1"/>
  <c r="D163" i="1"/>
  <c r="J163" i="1"/>
  <c r="A164" i="1"/>
  <c r="C164" i="1"/>
  <c r="J164" i="1"/>
  <c r="A2739" i="1"/>
  <c r="A165" i="1"/>
  <c r="C165" i="1"/>
  <c r="J165" i="1"/>
  <c r="A166" i="1"/>
  <c r="C166" i="1"/>
  <c r="J166" i="1"/>
  <c r="A167" i="1"/>
  <c r="C167" i="1"/>
  <c r="J167" i="1"/>
  <c r="A168" i="1"/>
  <c r="C168" i="1"/>
  <c r="J168" i="1"/>
  <c r="A169" i="1"/>
  <c r="C169" i="1"/>
  <c r="D169" i="1"/>
  <c r="J169" i="1"/>
  <c r="A170" i="1"/>
  <c r="C170" i="1"/>
  <c r="D170" i="1"/>
  <c r="J170" i="1"/>
  <c r="A171" i="1"/>
  <c r="C171" i="1"/>
  <c r="D171" i="1"/>
  <c r="J171" i="1"/>
  <c r="A172" i="1"/>
  <c r="C172" i="1"/>
  <c r="J172" i="1"/>
  <c r="A173" i="1"/>
  <c r="C173" i="1"/>
  <c r="J173" i="1"/>
  <c r="A174" i="1"/>
  <c r="C174" i="1"/>
  <c r="D174" i="1"/>
  <c r="J174" i="1"/>
  <c r="A175" i="1"/>
  <c r="C175" i="1"/>
  <c r="D175" i="1"/>
  <c r="J175" i="1"/>
  <c r="A176" i="1"/>
  <c r="C176" i="1"/>
  <c r="J176" i="1"/>
  <c r="A177" i="1"/>
  <c r="C177" i="1"/>
  <c r="D177" i="1"/>
  <c r="J177" i="1"/>
  <c r="A178" i="1"/>
  <c r="C178" i="1"/>
  <c r="J178" i="1"/>
  <c r="A179" i="1"/>
  <c r="C179" i="1"/>
  <c r="D179" i="1"/>
  <c r="J179" i="1"/>
  <c r="A2740" i="1"/>
  <c r="A180" i="1"/>
  <c r="C180" i="1"/>
  <c r="D180" i="1"/>
  <c r="J180" i="1"/>
  <c r="A181" i="1"/>
  <c r="C181" i="1"/>
  <c r="D181" i="1"/>
  <c r="J181" i="1"/>
  <c r="A182" i="1"/>
  <c r="C182" i="1"/>
  <c r="D182" i="1"/>
  <c r="J182" i="1"/>
  <c r="A183" i="1"/>
  <c r="C183" i="1"/>
  <c r="D183" i="1"/>
  <c r="J183" i="1"/>
  <c r="A2741" i="1"/>
  <c r="A2742" i="1"/>
  <c r="A184" i="1"/>
  <c r="C184" i="1"/>
  <c r="J184" i="1"/>
  <c r="A2743" i="1"/>
  <c r="A185" i="1"/>
  <c r="C185" i="1"/>
  <c r="D185" i="1"/>
  <c r="J185" i="1"/>
  <c r="A186" i="1"/>
  <c r="C186" i="1"/>
  <c r="D186" i="1"/>
  <c r="J186" i="1"/>
  <c r="A187" i="1"/>
  <c r="C187" i="1"/>
  <c r="J187" i="1"/>
  <c r="A188" i="1"/>
  <c r="C188" i="1"/>
  <c r="J188" i="1"/>
  <c r="A189" i="1"/>
  <c r="C189" i="1"/>
  <c r="J189" i="1"/>
  <c r="A190" i="1"/>
  <c r="C190" i="1"/>
  <c r="D190" i="1"/>
  <c r="J190" i="1"/>
  <c r="A2744" i="1"/>
  <c r="A2745" i="1"/>
  <c r="A191" i="1"/>
  <c r="C191" i="1"/>
  <c r="J191" i="1"/>
  <c r="A192" i="1"/>
  <c r="C192" i="1"/>
  <c r="D192" i="1"/>
  <c r="J192" i="1"/>
  <c r="A193" i="1"/>
  <c r="C193" i="1"/>
  <c r="D193" i="1"/>
  <c r="J193" i="1"/>
  <c r="A194" i="1"/>
  <c r="C194" i="1"/>
  <c r="D194" i="1"/>
  <c r="J194" i="1"/>
  <c r="A195" i="1"/>
  <c r="C195" i="1"/>
  <c r="D195" i="1"/>
  <c r="J195" i="1"/>
  <c r="A196" i="1"/>
  <c r="C196" i="1"/>
  <c r="D196" i="1"/>
  <c r="J196" i="1"/>
  <c r="A197" i="1"/>
  <c r="C197" i="1"/>
  <c r="J197" i="1"/>
  <c r="A198" i="1"/>
  <c r="C198" i="1"/>
  <c r="J198" i="1"/>
  <c r="A199" i="1"/>
  <c r="C199" i="1"/>
  <c r="J199" i="1"/>
  <c r="A200" i="1"/>
  <c r="C200" i="1"/>
  <c r="J200" i="1"/>
  <c r="A201" i="1"/>
  <c r="C201" i="1"/>
  <c r="D201" i="1"/>
  <c r="J201" i="1"/>
  <c r="A2746" i="1"/>
  <c r="A202" i="1"/>
  <c r="C202" i="1"/>
  <c r="J202" i="1"/>
  <c r="A203" i="1"/>
  <c r="C203" i="1"/>
  <c r="D203" i="1"/>
  <c r="J203" i="1"/>
  <c r="A2747" i="1"/>
  <c r="A204" i="1"/>
  <c r="C204" i="1"/>
  <c r="J204" i="1"/>
  <c r="A2748" i="1"/>
  <c r="A3084" i="1"/>
  <c r="A2749" i="1"/>
  <c r="A2750" i="1"/>
  <c r="A205" i="1"/>
  <c r="C205" i="1"/>
  <c r="J205" i="1"/>
  <c r="A206" i="1"/>
  <c r="C206" i="1"/>
  <c r="J206" i="1"/>
  <c r="A2751" i="1"/>
  <c r="A207" i="1"/>
  <c r="C207" i="1"/>
  <c r="J207" i="1"/>
  <c r="A208" i="1"/>
  <c r="C208" i="1"/>
  <c r="J208" i="1"/>
  <c r="A209" i="1"/>
  <c r="C209" i="1"/>
  <c r="D209" i="1"/>
  <c r="J209" i="1"/>
  <c r="A2752" i="1"/>
  <c r="A210" i="1"/>
  <c r="C210" i="1"/>
  <c r="J210" i="1"/>
  <c r="A2753" i="1"/>
  <c r="A211" i="1"/>
  <c r="C211" i="1"/>
  <c r="J211" i="1"/>
  <c r="A212" i="1"/>
  <c r="C212" i="1"/>
  <c r="J212" i="1"/>
  <c r="A213" i="1"/>
  <c r="C213" i="1"/>
  <c r="D213" i="1"/>
  <c r="J213" i="1"/>
  <c r="A214" i="1"/>
  <c r="C214" i="1"/>
  <c r="J214" i="1"/>
  <c r="A215" i="1"/>
  <c r="C215" i="1"/>
  <c r="D215" i="1"/>
  <c r="J215" i="1"/>
  <c r="A216" i="1"/>
  <c r="C216" i="1"/>
  <c r="D216" i="1"/>
  <c r="J216" i="1"/>
  <c r="A217" i="1"/>
  <c r="C217" i="1"/>
  <c r="J217" i="1"/>
  <c r="A218" i="1"/>
  <c r="C218" i="1"/>
  <c r="D218" i="1"/>
  <c r="J218" i="1"/>
  <c r="A2754" i="1"/>
  <c r="A219" i="1"/>
  <c r="C219" i="1"/>
  <c r="J219" i="1"/>
  <c r="A220" i="1"/>
  <c r="C220" i="1"/>
  <c r="D220" i="1"/>
  <c r="J220" i="1"/>
  <c r="A221" i="1"/>
  <c r="C221" i="1"/>
  <c r="D221" i="1"/>
  <c r="J221" i="1"/>
  <c r="A222" i="1"/>
  <c r="C222" i="1"/>
  <c r="J222" i="1"/>
  <c r="A223" i="1"/>
  <c r="C223" i="1"/>
  <c r="J223" i="1"/>
  <c r="A224" i="1"/>
  <c r="C224" i="1"/>
  <c r="J224" i="1"/>
  <c r="A225" i="1"/>
  <c r="C225" i="1"/>
  <c r="J225" i="1"/>
  <c r="A2755" i="1"/>
  <c r="A226" i="1"/>
  <c r="C226" i="1"/>
  <c r="D226" i="1"/>
  <c r="J226" i="1"/>
  <c r="A227" i="1"/>
  <c r="C227" i="1"/>
  <c r="D227" i="1"/>
  <c r="J227" i="1"/>
  <c r="A228" i="1"/>
  <c r="C228" i="1"/>
  <c r="J228" i="1"/>
  <c r="A229" i="1"/>
  <c r="C229" i="1"/>
  <c r="D229" i="1"/>
  <c r="J229" i="1"/>
  <c r="A230" i="1"/>
  <c r="C230" i="1"/>
  <c r="D230" i="1"/>
  <c r="J230" i="1"/>
  <c r="A231" i="1"/>
  <c r="C231" i="1"/>
  <c r="J231" i="1"/>
  <c r="A232" i="1"/>
  <c r="C232" i="1"/>
  <c r="J232" i="1"/>
  <c r="A233" i="1"/>
  <c r="C233" i="1"/>
  <c r="J233" i="1"/>
  <c r="A234" i="1"/>
  <c r="C234" i="1"/>
  <c r="J234" i="1"/>
  <c r="A235" i="1"/>
  <c r="C235" i="1"/>
  <c r="J235" i="1"/>
  <c r="A2756" i="1"/>
  <c r="A2757" i="1"/>
  <c r="A2758" i="1"/>
  <c r="A236" i="1"/>
  <c r="C236" i="1"/>
  <c r="J236" i="1"/>
  <c r="A237" i="1"/>
  <c r="C237" i="1"/>
  <c r="J237" i="1"/>
  <c r="A3085" i="1"/>
  <c r="A238" i="1"/>
  <c r="C238" i="1"/>
  <c r="J238" i="1"/>
  <c r="A239" i="1"/>
  <c r="C239" i="1"/>
  <c r="J239" i="1"/>
  <c r="A240" i="1"/>
  <c r="C240" i="1"/>
  <c r="D240" i="1"/>
  <c r="J240" i="1"/>
  <c r="A241" i="1"/>
  <c r="C241" i="1"/>
  <c r="J241" i="1"/>
  <c r="A2759" i="1"/>
  <c r="A242" i="1"/>
  <c r="C242" i="1"/>
  <c r="D242" i="1"/>
  <c r="J242" i="1"/>
  <c r="A243" i="1"/>
  <c r="C243" i="1"/>
  <c r="D243" i="1"/>
  <c r="J243" i="1"/>
  <c r="A2760" i="1"/>
  <c r="A244" i="1"/>
  <c r="C244" i="1"/>
  <c r="J244" i="1"/>
  <c r="A245" i="1"/>
  <c r="C245" i="1"/>
  <c r="J245" i="1"/>
  <c r="A246" i="1"/>
  <c r="C246" i="1"/>
  <c r="J246" i="1"/>
  <c r="A247" i="1"/>
  <c r="C247" i="1"/>
  <c r="J247" i="1"/>
  <c r="A248" i="1"/>
  <c r="C248" i="1"/>
  <c r="D248" i="1"/>
  <c r="J248" i="1"/>
  <c r="A249" i="1"/>
  <c r="C249" i="1"/>
  <c r="J249" i="1"/>
  <c r="A250" i="1"/>
  <c r="C250" i="1"/>
  <c r="D250" i="1"/>
  <c r="J250" i="1"/>
  <c r="A2761" i="1"/>
  <c r="A251" i="1"/>
  <c r="C251" i="1"/>
  <c r="J251" i="1"/>
  <c r="A252" i="1"/>
  <c r="C252" i="1"/>
  <c r="J252" i="1"/>
  <c r="A253" i="1"/>
  <c r="C253" i="1"/>
  <c r="D253" i="1"/>
  <c r="J253" i="1"/>
  <c r="A254" i="1"/>
  <c r="C254" i="1"/>
  <c r="D254" i="1"/>
  <c r="J254" i="1"/>
  <c r="A2762" i="1"/>
  <c r="A255" i="1"/>
  <c r="C255" i="1"/>
  <c r="J255" i="1"/>
  <c r="A256" i="1"/>
  <c r="C256" i="1"/>
  <c r="J256" i="1"/>
  <c r="A257" i="1"/>
  <c r="C257" i="1"/>
  <c r="J257" i="1"/>
  <c r="A258" i="1"/>
  <c r="C258" i="1"/>
  <c r="J258" i="1"/>
  <c r="A2763" i="1"/>
  <c r="A259" i="1"/>
  <c r="C259" i="1"/>
  <c r="J259" i="1"/>
  <c r="A260" i="1"/>
  <c r="C260" i="1"/>
  <c r="J260" i="1"/>
  <c r="A261" i="1"/>
  <c r="C261" i="1"/>
  <c r="D261" i="1"/>
  <c r="J261" i="1"/>
  <c r="A262" i="1"/>
  <c r="C262" i="1"/>
  <c r="D262" i="1"/>
  <c r="J262" i="1"/>
  <c r="A2764" i="1"/>
  <c r="A263" i="1"/>
  <c r="C263" i="1"/>
  <c r="J263" i="1"/>
  <c r="A264" i="1"/>
  <c r="C264" i="1"/>
  <c r="J264" i="1"/>
  <c r="A265" i="1"/>
  <c r="C265" i="1"/>
  <c r="D265" i="1"/>
  <c r="J265" i="1"/>
  <c r="A266" i="1"/>
  <c r="C266" i="1"/>
  <c r="D266" i="1"/>
  <c r="J266" i="1"/>
  <c r="A267" i="1"/>
  <c r="C267" i="1"/>
  <c r="D267" i="1"/>
  <c r="J267" i="1"/>
  <c r="A268" i="1"/>
  <c r="C268" i="1"/>
  <c r="J268" i="1"/>
  <c r="A2765" i="1"/>
  <c r="A269" i="1"/>
  <c r="C269" i="1"/>
  <c r="D269" i="1"/>
  <c r="J269" i="1"/>
  <c r="A270" i="1"/>
  <c r="C270" i="1"/>
  <c r="D270" i="1"/>
  <c r="J270" i="1"/>
  <c r="A271" i="1"/>
  <c r="C271" i="1"/>
  <c r="D271" i="1"/>
  <c r="J271" i="1"/>
  <c r="A272" i="1"/>
  <c r="C272" i="1"/>
  <c r="J272" i="1"/>
  <c r="A273" i="1"/>
  <c r="C273" i="1"/>
  <c r="J273" i="1"/>
  <c r="A274" i="1"/>
  <c r="C274" i="1"/>
  <c r="J274" i="1"/>
  <c r="A275" i="1"/>
  <c r="C275" i="1"/>
  <c r="J275" i="1"/>
  <c r="A276" i="1"/>
  <c r="C276" i="1"/>
  <c r="J276" i="1"/>
  <c r="A277" i="1"/>
  <c r="C277" i="1"/>
  <c r="J277" i="1"/>
  <c r="A278" i="1"/>
  <c r="C278" i="1"/>
  <c r="D278" i="1"/>
  <c r="J278" i="1"/>
  <c r="A279" i="1"/>
  <c r="C279" i="1"/>
  <c r="D279" i="1"/>
  <c r="J279" i="1"/>
  <c r="A2766" i="1"/>
  <c r="A280" i="1"/>
  <c r="C280" i="1"/>
  <c r="D280" i="1"/>
  <c r="J280" i="1"/>
  <c r="A281" i="1"/>
  <c r="C281" i="1"/>
  <c r="D281" i="1"/>
  <c r="J281" i="1"/>
  <c r="A282" i="1"/>
  <c r="C282" i="1"/>
  <c r="J282" i="1"/>
  <c r="A2767" i="1"/>
  <c r="A283" i="1"/>
  <c r="C283" i="1"/>
  <c r="J283" i="1"/>
  <c r="A2768" i="1"/>
  <c r="A284" i="1"/>
  <c r="C284" i="1"/>
  <c r="J284" i="1"/>
  <c r="A285" i="1"/>
  <c r="C285" i="1"/>
  <c r="D285" i="1"/>
  <c r="J285" i="1"/>
  <c r="A286" i="1"/>
  <c r="C286" i="1"/>
  <c r="J286" i="1"/>
  <c r="A287" i="1"/>
  <c r="C287" i="1"/>
  <c r="J287" i="1"/>
  <c r="A2769" i="1"/>
  <c r="A288" i="1"/>
  <c r="C288" i="1"/>
  <c r="J288" i="1"/>
  <c r="A289" i="1"/>
  <c r="C289" i="1"/>
  <c r="J289" i="1"/>
  <c r="A290" i="1"/>
  <c r="C290" i="1"/>
  <c r="J290" i="1"/>
  <c r="A291" i="1"/>
  <c r="C291" i="1"/>
  <c r="D291" i="1"/>
  <c r="J291" i="1"/>
  <c r="A292" i="1"/>
  <c r="C292" i="1"/>
  <c r="D292" i="1"/>
  <c r="J292" i="1"/>
  <c r="A293" i="1"/>
  <c r="C293" i="1"/>
  <c r="J293" i="1"/>
  <c r="A2770" i="1"/>
  <c r="A294" i="1"/>
  <c r="C294" i="1"/>
  <c r="D294" i="1"/>
  <c r="J294" i="1"/>
  <c r="A2771" i="1"/>
  <c r="A295" i="1"/>
  <c r="C295" i="1"/>
  <c r="J295" i="1"/>
  <c r="A2772" i="1"/>
  <c r="A296" i="1"/>
  <c r="C296" i="1"/>
  <c r="J296" i="1"/>
  <c r="A297" i="1"/>
  <c r="C297" i="1"/>
  <c r="D297" i="1"/>
  <c r="J297" i="1"/>
  <c r="A298" i="1"/>
  <c r="C298" i="1"/>
  <c r="J298" i="1"/>
  <c r="A299" i="1"/>
  <c r="C299" i="1"/>
  <c r="D299" i="1"/>
  <c r="J299" i="1"/>
  <c r="A300" i="1"/>
  <c r="C300" i="1"/>
  <c r="J300" i="1"/>
  <c r="A2773" i="1"/>
  <c r="A301" i="1"/>
  <c r="C301" i="1"/>
  <c r="J301" i="1"/>
  <c r="A302" i="1"/>
  <c r="C302" i="1"/>
  <c r="D302" i="1"/>
  <c r="J302" i="1"/>
  <c r="A303" i="1"/>
  <c r="C303" i="1"/>
  <c r="J303" i="1"/>
  <c r="A304" i="1"/>
  <c r="C304" i="1"/>
  <c r="J304" i="1"/>
  <c r="A2774" i="1"/>
  <c r="A305" i="1"/>
  <c r="C305" i="1"/>
  <c r="D305" i="1"/>
  <c r="J305" i="1"/>
  <c r="A306" i="1"/>
  <c r="C306" i="1"/>
  <c r="J306" i="1"/>
  <c r="A307" i="1"/>
  <c r="C307" i="1"/>
  <c r="J307" i="1"/>
  <c r="A308" i="1"/>
  <c r="C308" i="1"/>
  <c r="D308" i="1"/>
  <c r="J308" i="1"/>
  <c r="A309" i="1"/>
  <c r="C309" i="1"/>
  <c r="J309" i="1"/>
  <c r="A310" i="1"/>
  <c r="C310" i="1"/>
  <c r="D310" i="1"/>
  <c r="J310" i="1"/>
  <c r="A311" i="1"/>
  <c r="C311" i="1"/>
  <c r="D311" i="1"/>
  <c r="J311" i="1"/>
  <c r="A312" i="1"/>
  <c r="C312" i="1"/>
  <c r="J312" i="1"/>
  <c r="A313" i="1"/>
  <c r="C313" i="1"/>
  <c r="D313" i="1"/>
  <c r="J313" i="1"/>
  <c r="A314" i="1"/>
  <c r="C314" i="1"/>
  <c r="D314" i="1"/>
  <c r="J314" i="1"/>
  <c r="A315" i="1"/>
  <c r="C315" i="1"/>
  <c r="D315" i="1"/>
  <c r="J315" i="1"/>
  <c r="A2775" i="1"/>
  <c r="A316" i="1"/>
  <c r="C316" i="1"/>
  <c r="J316" i="1"/>
  <c r="A317" i="1"/>
  <c r="C317" i="1"/>
  <c r="D317" i="1"/>
  <c r="J317" i="1"/>
  <c r="A318" i="1"/>
  <c r="C318" i="1"/>
  <c r="D318" i="1"/>
  <c r="J318" i="1"/>
  <c r="A319" i="1"/>
  <c r="C319" i="1"/>
  <c r="J319" i="1"/>
  <c r="A320" i="1"/>
  <c r="C320" i="1"/>
  <c r="D320" i="1"/>
  <c r="J320" i="1"/>
  <c r="A2776" i="1"/>
  <c r="A3086" i="1"/>
  <c r="A321" i="1"/>
  <c r="C321" i="1"/>
  <c r="D321" i="1"/>
  <c r="J321" i="1"/>
  <c r="A2777" i="1"/>
  <c r="A322" i="1"/>
  <c r="C322" i="1"/>
  <c r="D322" i="1"/>
  <c r="J322" i="1"/>
  <c r="A2778" i="1"/>
  <c r="A323" i="1"/>
  <c r="C323" i="1"/>
  <c r="D323" i="1"/>
  <c r="J323" i="1"/>
  <c r="A324" i="1"/>
  <c r="C324" i="1"/>
  <c r="J324" i="1"/>
  <c r="A325" i="1"/>
  <c r="C325" i="1"/>
  <c r="J325" i="1"/>
  <c r="A326" i="1"/>
  <c r="C326" i="1"/>
  <c r="J326" i="1"/>
  <c r="A327" i="1"/>
  <c r="C327" i="1"/>
  <c r="J327" i="1"/>
  <c r="A328" i="1"/>
  <c r="C328" i="1"/>
  <c r="J328" i="1"/>
  <c r="A329" i="1"/>
  <c r="C329" i="1"/>
  <c r="J329" i="1"/>
  <c r="A330" i="1"/>
  <c r="C330" i="1"/>
  <c r="J330" i="1"/>
  <c r="A331" i="1"/>
  <c r="C331" i="1"/>
  <c r="D331" i="1"/>
  <c r="J331" i="1"/>
  <c r="A332" i="1"/>
  <c r="C332" i="1"/>
  <c r="J332" i="1"/>
  <c r="A333" i="1"/>
  <c r="C333" i="1"/>
  <c r="J333" i="1"/>
  <c r="A334" i="1"/>
  <c r="C334" i="1"/>
  <c r="D334" i="1"/>
  <c r="J334" i="1"/>
  <c r="A335" i="1"/>
  <c r="C335" i="1"/>
  <c r="J335" i="1"/>
  <c r="A336" i="1"/>
  <c r="C336" i="1"/>
  <c r="J336" i="1"/>
  <c r="A337" i="1"/>
  <c r="C337" i="1"/>
  <c r="J337" i="1"/>
  <c r="A338" i="1"/>
  <c r="C338" i="1"/>
  <c r="D338" i="1"/>
  <c r="J338" i="1"/>
  <c r="A339" i="1"/>
  <c r="C339" i="1"/>
  <c r="J339" i="1"/>
  <c r="A340" i="1"/>
  <c r="C340" i="1"/>
  <c r="D340" i="1"/>
  <c r="J340" i="1"/>
  <c r="A2779" i="1"/>
  <c r="A341" i="1"/>
  <c r="C341" i="1"/>
  <c r="D341" i="1"/>
  <c r="J341" i="1"/>
  <c r="A342" i="1"/>
  <c r="C342" i="1"/>
  <c r="D342" i="1"/>
  <c r="J342" i="1"/>
  <c r="A343" i="1"/>
  <c r="C343" i="1"/>
  <c r="J343" i="1"/>
  <c r="A344" i="1"/>
  <c r="C344" i="1"/>
  <c r="D344" i="1"/>
  <c r="J344" i="1"/>
  <c r="A345" i="1"/>
  <c r="C345" i="1"/>
  <c r="J345" i="1"/>
  <c r="A2780" i="1"/>
  <c r="A2781" i="1"/>
  <c r="A346" i="1"/>
  <c r="C346" i="1"/>
  <c r="J346" i="1"/>
  <c r="A347" i="1"/>
  <c r="C347" i="1"/>
  <c r="J347" i="1"/>
  <c r="A348" i="1"/>
  <c r="C348" i="1"/>
  <c r="J348" i="1"/>
  <c r="A349" i="1"/>
  <c r="C349" i="1"/>
  <c r="J349" i="1"/>
  <c r="A350" i="1"/>
  <c r="C350" i="1"/>
  <c r="J350" i="1"/>
  <c r="A351" i="1"/>
  <c r="C351" i="1"/>
  <c r="D351" i="1"/>
  <c r="J351" i="1"/>
  <c r="A2782" i="1"/>
  <c r="A352" i="1"/>
  <c r="C352" i="1"/>
  <c r="D352" i="1"/>
  <c r="J352" i="1"/>
  <c r="A353" i="1"/>
  <c r="C353" i="1"/>
  <c r="J353" i="1"/>
  <c r="A354" i="1"/>
  <c r="C354" i="1"/>
  <c r="D354" i="1"/>
  <c r="J354" i="1"/>
  <c r="A355" i="1"/>
  <c r="C355" i="1"/>
  <c r="J355" i="1"/>
  <c r="A3087" i="1"/>
  <c r="A356" i="1"/>
  <c r="C356" i="1"/>
  <c r="D356" i="1"/>
  <c r="J356" i="1"/>
  <c r="A357" i="1"/>
  <c r="C357" i="1"/>
  <c r="J357" i="1"/>
  <c r="A358" i="1"/>
  <c r="C358" i="1"/>
  <c r="J358" i="1"/>
  <c r="A359" i="1"/>
  <c r="C359" i="1"/>
  <c r="J359" i="1"/>
  <c r="A360" i="1"/>
  <c r="C360" i="1"/>
  <c r="J360" i="1"/>
  <c r="A361" i="1"/>
  <c r="C361" i="1"/>
  <c r="J361" i="1"/>
  <c r="A362" i="1"/>
  <c r="C362" i="1"/>
  <c r="J362" i="1"/>
  <c r="A363" i="1"/>
  <c r="C363" i="1"/>
  <c r="J363" i="1"/>
  <c r="A364" i="1"/>
  <c r="C364" i="1"/>
  <c r="D364" i="1"/>
  <c r="J364" i="1"/>
  <c r="A365" i="1"/>
  <c r="C365" i="1"/>
  <c r="D365" i="1"/>
  <c r="J365" i="1"/>
  <c r="A366" i="1"/>
  <c r="C366" i="1"/>
  <c r="J366" i="1"/>
  <c r="A2783" i="1"/>
  <c r="A367" i="1"/>
  <c r="C367" i="1"/>
  <c r="J367" i="1"/>
  <c r="A368" i="1"/>
  <c r="C368" i="1"/>
  <c r="D368" i="1"/>
  <c r="J368" i="1"/>
  <c r="A369" i="1"/>
  <c r="C369" i="1"/>
  <c r="J369" i="1"/>
  <c r="A2784" i="1"/>
  <c r="A3088" i="1"/>
  <c r="A370" i="1"/>
  <c r="C370" i="1"/>
  <c r="J370" i="1"/>
  <c r="A371" i="1"/>
  <c r="C371" i="1"/>
  <c r="J371" i="1"/>
  <c r="A372" i="1"/>
  <c r="C372" i="1"/>
  <c r="J372" i="1"/>
  <c r="A373" i="1"/>
  <c r="C373" i="1"/>
  <c r="J373" i="1"/>
  <c r="A374" i="1"/>
  <c r="C374" i="1"/>
  <c r="J374" i="1"/>
  <c r="A375" i="1"/>
  <c r="C375" i="1"/>
  <c r="J375" i="1"/>
  <c r="A2785" i="1"/>
  <c r="A376" i="1"/>
  <c r="C376" i="1"/>
  <c r="J376" i="1"/>
  <c r="A377" i="1"/>
  <c r="C377" i="1"/>
  <c r="D377" i="1"/>
  <c r="J377" i="1"/>
  <c r="A378" i="1"/>
  <c r="C378" i="1"/>
  <c r="J378" i="1"/>
  <c r="A379" i="1"/>
  <c r="C379" i="1"/>
  <c r="J379" i="1"/>
  <c r="A380" i="1"/>
  <c r="C380" i="1"/>
  <c r="D380" i="1"/>
  <c r="J380" i="1"/>
  <c r="A381" i="1"/>
  <c r="C381" i="1"/>
  <c r="J381" i="1"/>
  <c r="A382" i="1"/>
  <c r="C382" i="1"/>
  <c r="D382" i="1"/>
  <c r="J382" i="1"/>
  <c r="A383" i="1"/>
  <c r="C383" i="1"/>
  <c r="D383" i="1"/>
  <c r="J383" i="1"/>
  <c r="A384" i="1"/>
  <c r="C384" i="1"/>
  <c r="D384" i="1"/>
  <c r="J384" i="1"/>
  <c r="A385" i="1"/>
  <c r="C385" i="1"/>
  <c r="J385" i="1"/>
  <c r="A386" i="1"/>
  <c r="C386" i="1"/>
  <c r="D386" i="1"/>
  <c r="J386" i="1"/>
  <c r="A387" i="1"/>
  <c r="C387" i="1"/>
  <c r="J387" i="1"/>
  <c r="A388" i="1"/>
  <c r="C388" i="1"/>
  <c r="D388" i="1"/>
  <c r="J388" i="1"/>
  <c r="A389" i="1"/>
  <c r="C389" i="1"/>
  <c r="J389" i="1"/>
  <c r="A390" i="1"/>
  <c r="C390" i="1"/>
  <c r="J390" i="1"/>
  <c r="A391" i="1"/>
  <c r="C391" i="1"/>
  <c r="J391" i="1"/>
  <c r="A2786" i="1"/>
  <c r="A392" i="1"/>
  <c r="C392" i="1"/>
  <c r="J392" i="1"/>
  <c r="A393" i="1"/>
  <c r="C393" i="1"/>
  <c r="D393" i="1"/>
  <c r="J393" i="1"/>
  <c r="A394" i="1"/>
  <c r="C394" i="1"/>
  <c r="J394" i="1"/>
  <c r="A3089" i="1"/>
  <c r="A2787" i="1"/>
  <c r="A395" i="1"/>
  <c r="C395" i="1"/>
  <c r="J395" i="1"/>
  <c r="A396" i="1"/>
  <c r="C396" i="1"/>
  <c r="D396" i="1"/>
  <c r="J396" i="1"/>
  <c r="A397" i="1"/>
  <c r="C397" i="1"/>
  <c r="D397" i="1"/>
  <c r="J397" i="1"/>
  <c r="A2788" i="1"/>
  <c r="A398" i="1"/>
  <c r="C398" i="1"/>
  <c r="D398" i="1"/>
  <c r="J398" i="1"/>
  <c r="A2789" i="1"/>
  <c r="A2790" i="1"/>
  <c r="A399" i="1"/>
  <c r="C399" i="1"/>
  <c r="J399" i="1"/>
  <c r="A2791" i="1"/>
  <c r="A400" i="1"/>
  <c r="C400" i="1"/>
  <c r="J400" i="1"/>
  <c r="A2792" i="1"/>
  <c r="A401" i="1"/>
  <c r="C401" i="1"/>
  <c r="D401" i="1"/>
  <c r="J401" i="1"/>
  <c r="A402" i="1"/>
  <c r="C402" i="1"/>
  <c r="J402" i="1"/>
  <c r="A403" i="1"/>
  <c r="C403" i="1"/>
  <c r="J403" i="1"/>
  <c r="A404" i="1"/>
  <c r="C404" i="1"/>
  <c r="J404" i="1"/>
  <c r="A2793" i="1"/>
  <c r="A2794" i="1"/>
  <c r="A405" i="1"/>
  <c r="C405" i="1"/>
  <c r="J405" i="1"/>
  <c r="A3090" i="1"/>
  <c r="A406" i="1"/>
  <c r="C406" i="1"/>
  <c r="J406" i="1"/>
  <c r="A407" i="1"/>
  <c r="C407" i="1"/>
  <c r="J407" i="1"/>
  <c r="A408" i="1"/>
  <c r="C408" i="1"/>
  <c r="J408" i="1"/>
  <c r="A409" i="1"/>
  <c r="C409" i="1"/>
  <c r="J409" i="1"/>
  <c r="A2795" i="1"/>
  <c r="A410" i="1"/>
  <c r="C410" i="1"/>
  <c r="J410" i="1"/>
  <c r="A411" i="1"/>
  <c r="C411" i="1"/>
  <c r="J411" i="1"/>
  <c r="A412" i="1"/>
  <c r="C412" i="1"/>
  <c r="J412" i="1"/>
  <c r="A413" i="1"/>
  <c r="C413" i="1"/>
  <c r="J413" i="1"/>
  <c r="A414" i="1"/>
  <c r="C414" i="1"/>
  <c r="D414" i="1"/>
  <c r="J414" i="1"/>
  <c r="A415" i="1"/>
  <c r="C415" i="1"/>
  <c r="D415" i="1"/>
  <c r="J415" i="1"/>
  <c r="A416" i="1"/>
  <c r="C416" i="1"/>
  <c r="D416" i="1"/>
  <c r="J416" i="1"/>
  <c r="A417" i="1"/>
  <c r="C417" i="1"/>
  <c r="J417" i="1"/>
  <c r="A418" i="1"/>
  <c r="C418" i="1"/>
  <c r="J418" i="1"/>
  <c r="A419" i="1"/>
  <c r="C419" i="1"/>
  <c r="J419" i="1"/>
  <c r="A420" i="1"/>
  <c r="C420" i="1"/>
  <c r="J420" i="1"/>
  <c r="A421" i="1"/>
  <c r="C421" i="1"/>
  <c r="D421" i="1"/>
  <c r="J421" i="1"/>
  <c r="A422" i="1"/>
  <c r="C422" i="1"/>
  <c r="D422" i="1"/>
  <c r="J422" i="1"/>
  <c r="A423" i="1"/>
  <c r="C423" i="1"/>
  <c r="J423" i="1"/>
  <c r="A424" i="1"/>
  <c r="C424" i="1"/>
  <c r="D424" i="1"/>
  <c r="J424" i="1"/>
  <c r="A425" i="1"/>
  <c r="C425" i="1"/>
  <c r="J425" i="1"/>
  <c r="A426" i="1"/>
  <c r="C426" i="1"/>
  <c r="D426" i="1"/>
  <c r="J426" i="1"/>
  <c r="A2796" i="1"/>
  <c r="A427" i="1"/>
  <c r="C427" i="1"/>
  <c r="J427" i="1"/>
  <c r="A428" i="1"/>
  <c r="C428" i="1"/>
  <c r="J428" i="1"/>
  <c r="A429" i="1"/>
  <c r="C429" i="1"/>
  <c r="J429" i="1"/>
  <c r="A430" i="1"/>
  <c r="C430" i="1"/>
  <c r="J430" i="1"/>
  <c r="A431" i="1"/>
  <c r="C431" i="1"/>
  <c r="J431" i="1"/>
  <c r="A432" i="1"/>
  <c r="C432" i="1"/>
  <c r="J432" i="1"/>
  <c r="A433" i="1"/>
  <c r="C433" i="1"/>
  <c r="J433" i="1"/>
  <c r="A434" i="1"/>
  <c r="C434" i="1"/>
  <c r="J434" i="1"/>
  <c r="A2797" i="1"/>
  <c r="A435" i="1"/>
  <c r="C435" i="1"/>
  <c r="J435" i="1"/>
  <c r="A436" i="1"/>
  <c r="C436" i="1"/>
  <c r="D436" i="1"/>
  <c r="J436" i="1"/>
  <c r="A437" i="1"/>
  <c r="C437" i="1"/>
  <c r="J437" i="1"/>
  <c r="A2798" i="1"/>
  <c r="A438" i="1"/>
  <c r="C438" i="1"/>
  <c r="J438" i="1"/>
  <c r="A439" i="1"/>
  <c r="C439" i="1"/>
  <c r="J439" i="1"/>
  <c r="A440" i="1"/>
  <c r="C440" i="1"/>
  <c r="J440" i="1"/>
  <c r="A441" i="1"/>
  <c r="C441" i="1"/>
  <c r="J441" i="1"/>
  <c r="A442" i="1"/>
  <c r="C442" i="1"/>
  <c r="D442" i="1"/>
  <c r="J442" i="1"/>
  <c r="A443" i="1"/>
  <c r="C443" i="1"/>
  <c r="J443" i="1"/>
  <c r="A444" i="1"/>
  <c r="C444" i="1"/>
  <c r="J444" i="1"/>
  <c r="A445" i="1"/>
  <c r="C445" i="1"/>
  <c r="D445" i="1"/>
  <c r="J445" i="1"/>
  <c r="A446" i="1"/>
  <c r="C446" i="1"/>
  <c r="J446" i="1"/>
  <c r="A447" i="1"/>
  <c r="C447" i="1"/>
  <c r="D447" i="1"/>
  <c r="J447" i="1"/>
  <c r="A448" i="1"/>
  <c r="C448" i="1"/>
  <c r="J448" i="1"/>
  <c r="A449" i="1"/>
  <c r="C449" i="1"/>
  <c r="J449" i="1"/>
  <c r="A450" i="1"/>
  <c r="C450" i="1"/>
  <c r="J450" i="1"/>
  <c r="A451" i="1"/>
  <c r="C451" i="1"/>
  <c r="J451" i="1"/>
  <c r="A452" i="1"/>
  <c r="C452" i="1"/>
  <c r="J452" i="1"/>
  <c r="A2799" i="1"/>
  <c r="A453" i="1"/>
  <c r="C453" i="1"/>
  <c r="D453" i="1"/>
  <c r="J453" i="1"/>
  <c r="A454" i="1"/>
  <c r="C454" i="1"/>
  <c r="J454" i="1"/>
  <c r="A455" i="1"/>
  <c r="C455" i="1"/>
  <c r="D455" i="1"/>
  <c r="J455" i="1"/>
  <c r="A456" i="1"/>
  <c r="C456" i="1"/>
  <c r="J456" i="1"/>
  <c r="A2800" i="1"/>
  <c r="A457" i="1"/>
  <c r="C457" i="1"/>
  <c r="J457" i="1"/>
  <c r="A458" i="1"/>
  <c r="C458" i="1"/>
  <c r="J458" i="1"/>
  <c r="A459" i="1"/>
  <c r="C459" i="1"/>
  <c r="D459" i="1"/>
  <c r="J459" i="1"/>
  <c r="A460" i="1"/>
  <c r="C460" i="1"/>
  <c r="J460" i="1"/>
  <c r="A461" i="1"/>
  <c r="C461" i="1"/>
  <c r="D461" i="1"/>
  <c r="J461" i="1"/>
  <c r="A462" i="1"/>
  <c r="C462" i="1"/>
  <c r="J462" i="1"/>
  <c r="A463" i="1"/>
  <c r="C463" i="1"/>
  <c r="J463" i="1"/>
  <c r="A2801" i="1"/>
  <c r="A464" i="1"/>
  <c r="C464" i="1"/>
  <c r="D464" i="1"/>
  <c r="J464" i="1"/>
  <c r="A465" i="1"/>
  <c r="C465" i="1"/>
  <c r="D465" i="1"/>
  <c r="J465" i="1"/>
  <c r="A466" i="1"/>
  <c r="C466" i="1"/>
  <c r="J466" i="1"/>
  <c r="A467" i="1"/>
  <c r="C467" i="1"/>
  <c r="J467" i="1"/>
  <c r="A468" i="1"/>
  <c r="C468" i="1"/>
  <c r="D468" i="1"/>
  <c r="J468" i="1"/>
  <c r="A469" i="1"/>
  <c r="C469" i="1"/>
  <c r="J469" i="1"/>
  <c r="A470" i="1"/>
  <c r="C470" i="1"/>
  <c r="J470" i="1"/>
  <c r="A471" i="1"/>
  <c r="C471" i="1"/>
  <c r="J471" i="1"/>
  <c r="A472" i="1"/>
  <c r="C472" i="1"/>
  <c r="D472" i="1"/>
  <c r="J472" i="1"/>
  <c r="A473" i="1"/>
  <c r="C473" i="1"/>
  <c r="D473" i="1"/>
  <c r="J473" i="1"/>
  <c r="A474" i="1"/>
  <c r="C474" i="1"/>
  <c r="J474" i="1"/>
  <c r="A2802" i="1"/>
  <c r="A475" i="1"/>
  <c r="C475" i="1"/>
  <c r="J475" i="1"/>
  <c r="A476" i="1"/>
  <c r="C476" i="1"/>
  <c r="D476" i="1"/>
  <c r="J476" i="1"/>
  <c r="A477" i="1"/>
  <c r="C477" i="1"/>
  <c r="J477" i="1"/>
  <c r="A3091" i="1"/>
  <c r="A478" i="1"/>
  <c r="C478" i="1"/>
  <c r="D478" i="1"/>
  <c r="J478" i="1"/>
  <c r="A479" i="1"/>
  <c r="C479" i="1"/>
  <c r="D479" i="1"/>
  <c r="J479" i="1"/>
  <c r="A480" i="1"/>
  <c r="C480" i="1"/>
  <c r="J480" i="1"/>
  <c r="A2803" i="1"/>
  <c r="A481" i="1"/>
  <c r="C481" i="1"/>
  <c r="D481" i="1"/>
  <c r="J481" i="1"/>
  <c r="A482" i="1"/>
  <c r="C482" i="1"/>
  <c r="J482" i="1"/>
  <c r="A483" i="1"/>
  <c r="C483" i="1"/>
  <c r="D483" i="1"/>
  <c r="J483" i="1"/>
  <c r="A484" i="1"/>
  <c r="C484" i="1"/>
  <c r="J484" i="1"/>
  <c r="A485" i="1"/>
  <c r="C485" i="1"/>
  <c r="J485" i="1"/>
  <c r="A486" i="1"/>
  <c r="C486" i="1"/>
  <c r="J486" i="1"/>
  <c r="A487" i="1"/>
  <c r="C487" i="1"/>
  <c r="J487" i="1"/>
  <c r="A488" i="1"/>
  <c r="C488" i="1"/>
  <c r="J488" i="1"/>
  <c r="A489" i="1"/>
  <c r="C489" i="1"/>
  <c r="J489" i="1"/>
  <c r="A490" i="1"/>
  <c r="C490" i="1"/>
  <c r="J490" i="1"/>
  <c r="A491" i="1"/>
  <c r="C491" i="1"/>
  <c r="J491" i="1"/>
  <c r="A492" i="1"/>
  <c r="C492" i="1"/>
  <c r="J492" i="1"/>
  <c r="A493" i="1"/>
  <c r="C493" i="1"/>
  <c r="J493" i="1"/>
  <c r="A494" i="1"/>
  <c r="C494" i="1"/>
  <c r="J494" i="1"/>
  <c r="A495" i="1"/>
  <c r="C495" i="1"/>
  <c r="J495" i="1"/>
  <c r="A496" i="1"/>
  <c r="C496" i="1"/>
  <c r="D496" i="1"/>
  <c r="J496" i="1"/>
  <c r="A497" i="1"/>
  <c r="C497" i="1"/>
  <c r="D497" i="1"/>
  <c r="J497" i="1"/>
  <c r="A2804" i="1"/>
  <c r="A498" i="1"/>
  <c r="C498" i="1"/>
  <c r="J498" i="1"/>
  <c r="A499" i="1"/>
  <c r="C499" i="1"/>
  <c r="J499" i="1"/>
  <c r="A2805" i="1"/>
  <c r="A500" i="1"/>
  <c r="C500" i="1"/>
  <c r="D500" i="1"/>
  <c r="J500" i="1"/>
  <c r="A501" i="1"/>
  <c r="C501" i="1"/>
  <c r="D501" i="1"/>
  <c r="J501" i="1"/>
  <c r="A502" i="1"/>
  <c r="C502" i="1"/>
  <c r="J502" i="1"/>
  <c r="A503" i="1"/>
  <c r="C503" i="1"/>
  <c r="J503" i="1"/>
  <c r="A504" i="1"/>
  <c r="C504" i="1"/>
  <c r="J504" i="1"/>
  <c r="A505" i="1"/>
  <c r="C505" i="1"/>
  <c r="J505" i="1"/>
  <c r="A506" i="1"/>
  <c r="C506" i="1"/>
  <c r="J506" i="1"/>
  <c r="A2806" i="1"/>
  <c r="A507" i="1"/>
  <c r="C507" i="1"/>
  <c r="J507" i="1"/>
  <c r="A2807" i="1"/>
  <c r="A508" i="1"/>
  <c r="C508" i="1"/>
  <c r="D508" i="1"/>
  <c r="J508" i="1"/>
  <c r="A509" i="1"/>
  <c r="C509" i="1"/>
  <c r="J509" i="1"/>
  <c r="A510" i="1"/>
  <c r="C510" i="1"/>
  <c r="J510" i="1"/>
  <c r="A511" i="1"/>
  <c r="C511" i="1"/>
  <c r="J511" i="1"/>
  <c r="A512" i="1"/>
  <c r="C512" i="1"/>
  <c r="D512" i="1"/>
  <c r="J512" i="1"/>
  <c r="A513" i="1"/>
  <c r="C513" i="1"/>
  <c r="J513" i="1"/>
  <c r="A514" i="1"/>
  <c r="C514" i="1"/>
  <c r="J514" i="1"/>
  <c r="A515" i="1"/>
  <c r="C515" i="1"/>
  <c r="J515" i="1"/>
  <c r="A516" i="1"/>
  <c r="C516" i="1"/>
  <c r="J516" i="1"/>
  <c r="A3092" i="1"/>
  <c r="A517" i="1"/>
  <c r="C517" i="1"/>
  <c r="J517" i="1"/>
  <c r="A518" i="1"/>
  <c r="C518" i="1"/>
  <c r="J518" i="1"/>
  <c r="A2808" i="1"/>
  <c r="A519" i="1"/>
  <c r="C519" i="1"/>
  <c r="D519" i="1"/>
  <c r="J519" i="1"/>
  <c r="A520" i="1"/>
  <c r="C520" i="1"/>
  <c r="D520" i="1"/>
  <c r="J520" i="1"/>
  <c r="A521" i="1"/>
  <c r="C521" i="1"/>
  <c r="J521" i="1"/>
  <c r="A3093" i="1"/>
  <c r="A3094" i="1"/>
  <c r="A3095" i="1"/>
  <c r="A3096" i="1"/>
  <c r="A3097" i="1"/>
  <c r="A3098" i="1"/>
  <c r="A522" i="1"/>
  <c r="C522" i="1"/>
  <c r="D522" i="1"/>
  <c r="J522" i="1"/>
  <c r="A523" i="1"/>
  <c r="C523" i="1"/>
  <c r="D523" i="1"/>
  <c r="J523" i="1"/>
  <c r="A524" i="1"/>
  <c r="C524" i="1"/>
  <c r="J524" i="1"/>
  <c r="A525" i="1"/>
  <c r="C525" i="1"/>
  <c r="J525" i="1"/>
  <c r="A526" i="1"/>
  <c r="C526" i="1"/>
  <c r="D526" i="1"/>
  <c r="J526" i="1"/>
  <c r="A2809" i="1"/>
  <c r="A3099" i="1"/>
  <c r="A3100" i="1"/>
  <c r="A3101" i="1"/>
  <c r="A3102" i="1"/>
  <c r="A527" i="1"/>
  <c r="C527" i="1"/>
  <c r="D527" i="1"/>
  <c r="J527" i="1"/>
  <c r="A3103" i="1"/>
  <c r="A528" i="1"/>
  <c r="C528" i="1"/>
  <c r="J528" i="1"/>
  <c r="A529" i="1"/>
  <c r="C529" i="1"/>
  <c r="J529" i="1"/>
  <c r="A3104" i="1"/>
  <c r="A2810" i="1"/>
  <c r="A2811" i="1"/>
  <c r="A3105" i="1"/>
  <c r="A3106" i="1"/>
  <c r="A3107" i="1"/>
  <c r="A3108" i="1"/>
  <c r="A3109" i="1"/>
  <c r="A3110" i="1"/>
  <c r="A530" i="1"/>
  <c r="C530" i="1"/>
  <c r="J530" i="1"/>
  <c r="A3111" i="1"/>
  <c r="A3112" i="1"/>
  <c r="A3113" i="1"/>
  <c r="A3114" i="1"/>
  <c r="A531" i="1"/>
  <c r="C531" i="1"/>
  <c r="J531" i="1"/>
  <c r="A3115" i="1"/>
  <c r="A3116" i="1"/>
  <c r="A532" i="1"/>
  <c r="C532" i="1"/>
  <c r="J532" i="1"/>
  <c r="A3117" i="1"/>
  <c r="A533" i="1"/>
  <c r="C533" i="1"/>
  <c r="D533" i="1"/>
  <c r="J533" i="1"/>
  <c r="A534" i="1"/>
  <c r="C534" i="1"/>
  <c r="D534" i="1"/>
  <c r="J534" i="1"/>
  <c r="A2812" i="1"/>
  <c r="A535" i="1"/>
  <c r="C535" i="1"/>
  <c r="J535" i="1"/>
  <c r="A2813" i="1"/>
  <c r="A3118" i="1"/>
  <c r="A536" i="1"/>
  <c r="C536" i="1"/>
  <c r="D536" i="1"/>
  <c r="J536" i="1"/>
  <c r="A537" i="1"/>
  <c r="C537" i="1"/>
  <c r="D537" i="1"/>
  <c r="J537" i="1"/>
  <c r="A538" i="1"/>
  <c r="C538" i="1"/>
  <c r="J538" i="1"/>
  <c r="A539" i="1"/>
  <c r="C539" i="1"/>
  <c r="D539" i="1"/>
  <c r="J539" i="1"/>
  <c r="A2814" i="1"/>
  <c r="A540" i="1"/>
  <c r="C540" i="1"/>
  <c r="J540" i="1"/>
  <c r="A541" i="1"/>
  <c r="C541" i="1"/>
  <c r="J541" i="1"/>
  <c r="A542" i="1"/>
  <c r="C542" i="1"/>
  <c r="D542" i="1"/>
  <c r="J542" i="1"/>
  <c r="A2815" i="1"/>
  <c r="A3119" i="1"/>
  <c r="A543" i="1"/>
  <c r="C543" i="1"/>
  <c r="J543" i="1"/>
  <c r="A544" i="1"/>
  <c r="C544" i="1"/>
  <c r="J544" i="1"/>
  <c r="A545" i="1"/>
  <c r="C545" i="1"/>
  <c r="D545" i="1"/>
  <c r="J545" i="1"/>
  <c r="A546" i="1"/>
  <c r="C546" i="1"/>
  <c r="D546" i="1"/>
  <c r="J546" i="1"/>
  <c r="A547" i="1"/>
  <c r="C547" i="1"/>
  <c r="D547" i="1"/>
  <c r="J547" i="1"/>
  <c r="A548" i="1"/>
  <c r="C548" i="1"/>
  <c r="D548" i="1"/>
  <c r="J548" i="1"/>
  <c r="A2816" i="1"/>
  <c r="A549" i="1"/>
  <c r="C549" i="1"/>
  <c r="J549" i="1"/>
  <c r="A550" i="1"/>
  <c r="C550" i="1"/>
  <c r="D550" i="1"/>
  <c r="J550" i="1"/>
  <c r="A551" i="1"/>
  <c r="C551" i="1"/>
  <c r="J551" i="1"/>
  <c r="A552" i="1"/>
  <c r="C552" i="1"/>
  <c r="D552" i="1"/>
  <c r="J552" i="1"/>
  <c r="A553" i="1"/>
  <c r="C553" i="1"/>
  <c r="J553" i="1"/>
  <c r="A554" i="1"/>
  <c r="C554" i="1"/>
  <c r="J554" i="1"/>
  <c r="A555" i="1"/>
  <c r="C555" i="1"/>
  <c r="J555" i="1"/>
  <c r="A556" i="1"/>
  <c r="C556" i="1"/>
  <c r="J556" i="1"/>
  <c r="A557" i="1"/>
  <c r="C557" i="1"/>
  <c r="J557" i="1"/>
  <c r="A558" i="1"/>
  <c r="C558" i="1"/>
  <c r="J558" i="1"/>
  <c r="A559" i="1"/>
  <c r="C559" i="1"/>
  <c r="D559" i="1"/>
  <c r="J559" i="1"/>
  <c r="A560" i="1"/>
  <c r="C560" i="1"/>
  <c r="J560" i="1"/>
  <c r="A561" i="1"/>
  <c r="C561" i="1"/>
  <c r="J561" i="1"/>
  <c r="A562" i="1"/>
  <c r="C562" i="1"/>
  <c r="D562" i="1"/>
  <c r="J562" i="1"/>
  <c r="A563" i="1"/>
  <c r="C563" i="1"/>
  <c r="J563" i="1"/>
  <c r="A564" i="1"/>
  <c r="C564" i="1"/>
  <c r="J564" i="1"/>
  <c r="A565" i="1"/>
  <c r="C565" i="1"/>
  <c r="J565" i="1"/>
  <c r="A566" i="1"/>
  <c r="C566" i="1"/>
  <c r="J566" i="1"/>
  <c r="A567" i="1"/>
  <c r="C567" i="1"/>
  <c r="J567" i="1"/>
  <c r="A568" i="1"/>
  <c r="C568" i="1"/>
  <c r="J568" i="1"/>
  <c r="A2817" i="1"/>
  <c r="A569" i="1"/>
  <c r="C569" i="1"/>
  <c r="J569" i="1"/>
  <c r="A570" i="1"/>
  <c r="C570" i="1"/>
  <c r="D570" i="1"/>
  <c r="J570" i="1"/>
  <c r="A571" i="1"/>
  <c r="C571" i="1"/>
  <c r="D571" i="1"/>
  <c r="J571" i="1"/>
  <c r="A572" i="1"/>
  <c r="C572" i="1"/>
  <c r="D572" i="1"/>
  <c r="J572" i="1"/>
  <c r="A573" i="1"/>
  <c r="C573" i="1"/>
  <c r="J573" i="1"/>
  <c r="A574" i="1"/>
  <c r="C574" i="1"/>
  <c r="J574" i="1"/>
  <c r="A575" i="1"/>
  <c r="C575" i="1"/>
  <c r="D575" i="1"/>
  <c r="J575" i="1"/>
  <c r="A576" i="1"/>
  <c r="C576" i="1"/>
  <c r="J576" i="1"/>
  <c r="A2818" i="1"/>
  <c r="A577" i="1"/>
  <c r="C577" i="1"/>
  <c r="D577" i="1"/>
  <c r="J577" i="1"/>
  <c r="A578" i="1"/>
  <c r="C578" i="1"/>
  <c r="D578" i="1"/>
  <c r="J578" i="1"/>
  <c r="A579" i="1"/>
  <c r="C579" i="1"/>
  <c r="D579" i="1"/>
  <c r="J579" i="1"/>
  <c r="A580" i="1"/>
  <c r="C580" i="1"/>
  <c r="D580" i="1"/>
  <c r="J580" i="1"/>
  <c r="A581" i="1"/>
  <c r="C581" i="1"/>
  <c r="D581" i="1"/>
  <c r="J581" i="1"/>
  <c r="A2819" i="1"/>
  <c r="A3120" i="1"/>
  <c r="A2820" i="1"/>
  <c r="A582" i="1"/>
  <c r="C582" i="1"/>
  <c r="J582" i="1"/>
  <c r="A583" i="1"/>
  <c r="C583" i="1"/>
  <c r="J583" i="1"/>
  <c r="A2821" i="1"/>
  <c r="A584" i="1"/>
  <c r="C584" i="1"/>
  <c r="D584" i="1"/>
  <c r="J584" i="1"/>
  <c r="A585" i="1"/>
  <c r="C585" i="1"/>
  <c r="J585" i="1"/>
  <c r="A586" i="1"/>
  <c r="C586" i="1"/>
  <c r="J586" i="1"/>
  <c r="A587" i="1"/>
  <c r="C587" i="1"/>
  <c r="J587" i="1"/>
  <c r="A2822" i="1"/>
  <c r="A588" i="1"/>
  <c r="C588" i="1"/>
  <c r="D588" i="1"/>
  <c r="J588" i="1"/>
  <c r="A589" i="1"/>
  <c r="C589" i="1"/>
  <c r="D589" i="1"/>
  <c r="J589" i="1"/>
  <c r="A2823" i="1"/>
  <c r="A590" i="1"/>
  <c r="C590" i="1"/>
  <c r="J590" i="1"/>
  <c r="A591" i="1"/>
  <c r="C591" i="1"/>
  <c r="J591" i="1"/>
  <c r="A592" i="1"/>
  <c r="C592" i="1"/>
  <c r="J592" i="1"/>
  <c r="A593" i="1"/>
  <c r="C593" i="1"/>
  <c r="D593" i="1"/>
  <c r="J593" i="1"/>
  <c r="A594" i="1"/>
  <c r="C594" i="1"/>
  <c r="D594" i="1"/>
  <c r="J594" i="1"/>
  <c r="A595" i="1"/>
  <c r="C595" i="1"/>
  <c r="D595" i="1"/>
  <c r="J595" i="1"/>
  <c r="A596" i="1"/>
  <c r="C596" i="1"/>
  <c r="D596" i="1"/>
  <c r="J596" i="1"/>
  <c r="A597" i="1"/>
  <c r="C597" i="1"/>
  <c r="J597" i="1"/>
  <c r="A3121" i="1"/>
  <c r="A598" i="1"/>
  <c r="C598" i="1"/>
  <c r="D598" i="1"/>
  <c r="J598" i="1"/>
  <c r="A3122" i="1"/>
  <c r="A599" i="1"/>
  <c r="C599" i="1"/>
  <c r="J599" i="1"/>
  <c r="A600" i="1"/>
  <c r="C600" i="1"/>
  <c r="J600" i="1"/>
  <c r="A601" i="1"/>
  <c r="C601" i="1"/>
  <c r="D601" i="1"/>
  <c r="J601" i="1"/>
  <c r="A602" i="1"/>
  <c r="C602" i="1"/>
  <c r="J602" i="1"/>
  <c r="A603" i="1"/>
  <c r="C603" i="1"/>
  <c r="J603" i="1"/>
  <c r="A3123" i="1"/>
  <c r="A604" i="1"/>
  <c r="C604" i="1"/>
  <c r="D604" i="1"/>
  <c r="J604" i="1"/>
  <c r="A605" i="1"/>
  <c r="C605" i="1"/>
  <c r="D605" i="1"/>
  <c r="J605" i="1"/>
  <c r="A3124" i="1"/>
  <c r="A606" i="1"/>
  <c r="C606" i="1"/>
  <c r="D606" i="1"/>
  <c r="J606" i="1"/>
  <c r="A607" i="1"/>
  <c r="C607" i="1"/>
  <c r="D607" i="1"/>
  <c r="J607" i="1"/>
  <c r="A608" i="1"/>
  <c r="C608" i="1"/>
  <c r="D608" i="1"/>
  <c r="J608" i="1"/>
  <c r="A609" i="1"/>
  <c r="C609" i="1"/>
  <c r="J609" i="1"/>
  <c r="A610" i="1"/>
  <c r="C610" i="1"/>
  <c r="J610" i="1"/>
  <c r="A611" i="1"/>
  <c r="C611" i="1"/>
  <c r="D611" i="1"/>
  <c r="J611" i="1"/>
  <c r="A612" i="1"/>
  <c r="C612" i="1"/>
  <c r="D612" i="1"/>
  <c r="J612" i="1"/>
  <c r="A2824" i="1"/>
  <c r="A613" i="1"/>
  <c r="C613" i="1"/>
  <c r="D613" i="1"/>
  <c r="J613" i="1"/>
  <c r="A614" i="1"/>
  <c r="C614" i="1"/>
  <c r="J614" i="1"/>
  <c r="A615" i="1"/>
  <c r="C615" i="1"/>
  <c r="J615" i="1"/>
  <c r="A616" i="1"/>
  <c r="C616" i="1"/>
  <c r="D616" i="1"/>
  <c r="J616" i="1"/>
  <c r="A3125" i="1"/>
  <c r="A617" i="1"/>
  <c r="C617" i="1"/>
  <c r="D617" i="1"/>
  <c r="J617" i="1"/>
  <c r="A618" i="1"/>
  <c r="C618" i="1"/>
  <c r="J618" i="1"/>
  <c r="A619" i="1"/>
  <c r="C619" i="1"/>
  <c r="D619" i="1"/>
  <c r="J619" i="1"/>
  <c r="A620" i="1"/>
  <c r="C620" i="1"/>
  <c r="J620" i="1"/>
  <c r="A2825" i="1"/>
  <c r="A621" i="1"/>
  <c r="C621" i="1"/>
  <c r="J621" i="1"/>
  <c r="A622" i="1"/>
  <c r="C622" i="1"/>
  <c r="J622" i="1"/>
  <c r="A623" i="1"/>
  <c r="C623" i="1"/>
  <c r="D623" i="1"/>
  <c r="J623" i="1"/>
  <c r="A624" i="1"/>
  <c r="C624" i="1"/>
  <c r="J624" i="1"/>
  <c r="A2826" i="1"/>
  <c r="A625" i="1"/>
  <c r="C625" i="1"/>
  <c r="J625" i="1"/>
  <c r="A626" i="1"/>
  <c r="C626" i="1"/>
  <c r="J626" i="1"/>
  <c r="A627" i="1"/>
  <c r="C627" i="1"/>
  <c r="J627" i="1"/>
  <c r="A628" i="1"/>
  <c r="C628" i="1"/>
  <c r="J628" i="1"/>
  <c r="A629" i="1"/>
  <c r="C629" i="1"/>
  <c r="J629" i="1"/>
  <c r="A630" i="1"/>
  <c r="C630" i="1"/>
  <c r="J630" i="1"/>
  <c r="A631" i="1"/>
  <c r="C631" i="1"/>
  <c r="J631" i="1"/>
  <c r="A632" i="1"/>
  <c r="C632" i="1"/>
  <c r="J632" i="1"/>
  <c r="A633" i="1"/>
  <c r="C633" i="1"/>
  <c r="J633" i="1"/>
  <c r="A2827" i="1"/>
  <c r="A2828" i="1"/>
  <c r="A634" i="1"/>
  <c r="C634" i="1"/>
  <c r="J634" i="1"/>
  <c r="A635" i="1"/>
  <c r="C635" i="1"/>
  <c r="J635" i="1"/>
  <c r="A2829" i="1"/>
  <c r="A636" i="1"/>
  <c r="C636" i="1"/>
  <c r="D636" i="1"/>
  <c r="J636" i="1"/>
  <c r="A637" i="1"/>
  <c r="C637" i="1"/>
  <c r="J637" i="1"/>
  <c r="A638" i="1"/>
  <c r="C638" i="1"/>
  <c r="D638" i="1"/>
  <c r="J638" i="1"/>
  <c r="A639" i="1"/>
  <c r="C639" i="1"/>
  <c r="J639" i="1"/>
  <c r="A640" i="1"/>
  <c r="C640" i="1"/>
  <c r="J640" i="1"/>
  <c r="A641" i="1"/>
  <c r="C641" i="1"/>
  <c r="J641" i="1"/>
  <c r="A642" i="1"/>
  <c r="C642" i="1"/>
  <c r="J642" i="1"/>
  <c r="A643" i="1"/>
  <c r="C643" i="1"/>
  <c r="J643" i="1"/>
  <c r="A644" i="1"/>
  <c r="C644" i="1"/>
  <c r="J644" i="1"/>
  <c r="A2830" i="1"/>
  <c r="A645" i="1"/>
  <c r="C645" i="1"/>
  <c r="D645" i="1"/>
  <c r="J645" i="1"/>
  <c r="A646" i="1"/>
  <c r="C646" i="1"/>
  <c r="D646" i="1"/>
  <c r="J646" i="1"/>
  <c r="A2831" i="1"/>
  <c r="A647" i="1"/>
  <c r="C647" i="1"/>
  <c r="J647" i="1"/>
  <c r="A2832" i="1"/>
  <c r="A648" i="1"/>
  <c r="C648" i="1"/>
  <c r="J648" i="1"/>
  <c r="A2833" i="1"/>
  <c r="A649" i="1"/>
  <c r="C649" i="1"/>
  <c r="J649" i="1"/>
  <c r="A650" i="1"/>
  <c r="C650" i="1"/>
  <c r="J650" i="1"/>
  <c r="A651" i="1"/>
  <c r="C651" i="1"/>
  <c r="J651" i="1"/>
  <c r="A652" i="1"/>
  <c r="C652" i="1"/>
  <c r="J652" i="1"/>
  <c r="A653" i="1"/>
  <c r="C653" i="1"/>
  <c r="J653" i="1"/>
  <c r="A654" i="1"/>
  <c r="C654" i="1"/>
  <c r="J654" i="1"/>
  <c r="A2834" i="1"/>
  <c r="A655" i="1"/>
  <c r="C655" i="1"/>
  <c r="J655" i="1"/>
  <c r="A656" i="1"/>
  <c r="C656" i="1"/>
  <c r="D656" i="1"/>
  <c r="J656" i="1"/>
  <c r="A657" i="1"/>
  <c r="C657" i="1"/>
  <c r="J657" i="1"/>
  <c r="A658" i="1"/>
  <c r="C658" i="1"/>
  <c r="D658" i="1"/>
  <c r="J658" i="1"/>
  <c r="A659" i="1"/>
  <c r="C659" i="1"/>
  <c r="D659" i="1"/>
  <c r="J659" i="1"/>
  <c r="A660" i="1"/>
  <c r="C660" i="1"/>
  <c r="J660" i="1"/>
  <c r="A661" i="1"/>
  <c r="C661" i="1"/>
  <c r="J661" i="1"/>
  <c r="A2835" i="1"/>
  <c r="A662" i="1"/>
  <c r="C662" i="1"/>
  <c r="J662" i="1"/>
  <c r="A663" i="1"/>
  <c r="C663" i="1"/>
  <c r="J663" i="1"/>
  <c r="A664" i="1"/>
  <c r="C664" i="1"/>
  <c r="D664" i="1"/>
  <c r="J664" i="1"/>
  <c r="A665" i="1"/>
  <c r="C665" i="1"/>
  <c r="J665" i="1"/>
  <c r="A666" i="1"/>
  <c r="C666" i="1"/>
  <c r="J666" i="1"/>
  <c r="A667" i="1"/>
  <c r="C667" i="1"/>
  <c r="J667" i="1"/>
  <c r="A668" i="1"/>
  <c r="C668" i="1"/>
  <c r="J668" i="1"/>
  <c r="A669" i="1"/>
  <c r="C669" i="1"/>
  <c r="J669" i="1"/>
  <c r="A670" i="1"/>
  <c r="C670" i="1"/>
  <c r="J670" i="1"/>
  <c r="A671" i="1"/>
  <c r="C671" i="1"/>
  <c r="D671" i="1"/>
  <c r="J671" i="1"/>
  <c r="A672" i="1"/>
  <c r="C672" i="1"/>
  <c r="J672" i="1"/>
  <c r="A673" i="1"/>
  <c r="C673" i="1"/>
  <c r="J673" i="1"/>
  <c r="A674" i="1"/>
  <c r="C674" i="1"/>
  <c r="J674" i="1"/>
  <c r="A675" i="1"/>
  <c r="C675" i="1"/>
  <c r="J675" i="1"/>
  <c r="A2836" i="1"/>
  <c r="A676" i="1"/>
  <c r="C676" i="1"/>
  <c r="J676" i="1"/>
  <c r="A677" i="1"/>
  <c r="C677" i="1"/>
  <c r="J677" i="1"/>
  <c r="A678" i="1"/>
  <c r="C678" i="1"/>
  <c r="J678" i="1"/>
  <c r="A679" i="1"/>
  <c r="C679" i="1"/>
  <c r="J679" i="1"/>
  <c r="A680" i="1"/>
  <c r="C680" i="1"/>
  <c r="D680" i="1"/>
  <c r="J680" i="1"/>
  <c r="A681" i="1"/>
  <c r="C681" i="1"/>
  <c r="D681" i="1"/>
  <c r="J681" i="1"/>
  <c r="A682" i="1"/>
  <c r="C682" i="1"/>
  <c r="J682" i="1"/>
  <c r="A2837" i="1"/>
  <c r="A683" i="1"/>
  <c r="C683" i="1"/>
  <c r="D683" i="1"/>
  <c r="J683" i="1"/>
  <c r="A2838" i="1"/>
  <c r="A684" i="1"/>
  <c r="C684" i="1"/>
  <c r="J684" i="1"/>
  <c r="A685" i="1"/>
  <c r="C685" i="1"/>
  <c r="J685" i="1"/>
  <c r="A686" i="1"/>
  <c r="C686" i="1"/>
  <c r="J686" i="1"/>
  <c r="A2839" i="1"/>
  <c r="A2840" i="1"/>
  <c r="A687" i="1"/>
  <c r="C687" i="1"/>
  <c r="D687" i="1"/>
  <c r="J687" i="1"/>
  <c r="A688" i="1"/>
  <c r="C688" i="1"/>
  <c r="D688" i="1"/>
  <c r="J688" i="1"/>
  <c r="A689" i="1"/>
  <c r="C689" i="1"/>
  <c r="D689" i="1"/>
  <c r="J689" i="1"/>
  <c r="A690" i="1"/>
  <c r="C690" i="1"/>
  <c r="J690" i="1"/>
  <c r="A691" i="1"/>
  <c r="C691" i="1"/>
  <c r="J691" i="1"/>
  <c r="A2841" i="1"/>
  <c r="A3126" i="1"/>
  <c r="A692" i="1"/>
  <c r="C692" i="1"/>
  <c r="D692" i="1"/>
  <c r="J692" i="1"/>
  <c r="A693" i="1"/>
  <c r="C693" i="1"/>
  <c r="J693" i="1"/>
  <c r="A694" i="1"/>
  <c r="C694" i="1"/>
  <c r="J694" i="1"/>
  <c r="A2842" i="1"/>
  <c r="A695" i="1"/>
  <c r="C695" i="1"/>
  <c r="D695" i="1"/>
  <c r="J695" i="1"/>
  <c r="A696" i="1"/>
  <c r="C696" i="1"/>
  <c r="J696" i="1"/>
  <c r="A697" i="1"/>
  <c r="C697" i="1"/>
  <c r="J697" i="1"/>
  <c r="A698" i="1"/>
  <c r="C698" i="1"/>
  <c r="D698" i="1"/>
  <c r="J698" i="1"/>
  <c r="A699" i="1"/>
  <c r="C699" i="1"/>
  <c r="J699" i="1"/>
  <c r="A700" i="1"/>
  <c r="C700" i="1"/>
  <c r="J700" i="1"/>
  <c r="A701" i="1"/>
  <c r="C701" i="1"/>
  <c r="D701" i="1"/>
  <c r="J701" i="1"/>
  <c r="A702" i="1"/>
  <c r="C702" i="1"/>
  <c r="D702" i="1"/>
  <c r="J702" i="1"/>
  <c r="A703" i="1"/>
  <c r="C703" i="1"/>
  <c r="J703" i="1"/>
  <c r="A704" i="1"/>
  <c r="C704" i="1"/>
  <c r="J704" i="1"/>
  <c r="A705" i="1"/>
  <c r="C705" i="1"/>
  <c r="J705" i="1"/>
  <c r="A706" i="1"/>
  <c r="C706" i="1"/>
  <c r="J706" i="1"/>
  <c r="A707" i="1"/>
  <c r="C707" i="1"/>
  <c r="J707" i="1"/>
  <c r="A2843" i="1"/>
  <c r="A708" i="1"/>
  <c r="C708" i="1"/>
  <c r="D708" i="1"/>
  <c r="J708" i="1"/>
  <c r="A709" i="1"/>
  <c r="C709" i="1"/>
  <c r="J709" i="1"/>
  <c r="A710" i="1"/>
  <c r="C710" i="1"/>
  <c r="J710" i="1"/>
  <c r="A2844" i="1"/>
  <c r="A711" i="1"/>
  <c r="C711" i="1"/>
  <c r="J711" i="1"/>
  <c r="A712" i="1"/>
  <c r="C712" i="1"/>
  <c r="D712" i="1"/>
  <c r="J712" i="1"/>
  <c r="A713" i="1"/>
  <c r="C713" i="1"/>
  <c r="J713" i="1"/>
  <c r="A714" i="1"/>
  <c r="C714" i="1"/>
  <c r="J714" i="1"/>
  <c r="A715" i="1"/>
  <c r="C715" i="1"/>
  <c r="J715" i="1"/>
  <c r="A716" i="1"/>
  <c r="C716" i="1"/>
  <c r="J716" i="1"/>
  <c r="A717" i="1"/>
  <c r="C717" i="1"/>
  <c r="J717" i="1"/>
  <c r="A718" i="1"/>
  <c r="C718" i="1"/>
  <c r="J718" i="1"/>
  <c r="A3127" i="1"/>
  <c r="A2845" i="1"/>
  <c r="A719" i="1"/>
  <c r="C719" i="1"/>
  <c r="D719" i="1"/>
  <c r="J719" i="1"/>
  <c r="A2846" i="1"/>
  <c r="A2847" i="1"/>
  <c r="A720" i="1"/>
  <c r="C720" i="1"/>
  <c r="J720" i="1"/>
  <c r="A721" i="1"/>
  <c r="C721" i="1"/>
  <c r="J721" i="1"/>
  <c r="A722" i="1"/>
  <c r="C722" i="1"/>
  <c r="J722" i="1"/>
  <c r="A723" i="1"/>
  <c r="C723" i="1"/>
  <c r="J723" i="1"/>
  <c r="A724" i="1"/>
  <c r="C724" i="1"/>
  <c r="J724" i="1"/>
  <c r="A725" i="1"/>
  <c r="C725" i="1"/>
  <c r="J725" i="1"/>
  <c r="A726" i="1"/>
  <c r="C726" i="1"/>
  <c r="J726" i="1"/>
  <c r="A727" i="1"/>
  <c r="C727" i="1"/>
  <c r="D727" i="1"/>
  <c r="J727" i="1"/>
  <c r="A728" i="1"/>
  <c r="C728" i="1"/>
  <c r="D728" i="1"/>
  <c r="J728" i="1"/>
  <c r="A729" i="1"/>
  <c r="C729" i="1"/>
  <c r="D729" i="1"/>
  <c r="J729" i="1"/>
  <c r="A730" i="1"/>
  <c r="C730" i="1"/>
  <c r="J730" i="1"/>
  <c r="A731" i="1"/>
  <c r="C731" i="1"/>
  <c r="D731" i="1"/>
  <c r="J731" i="1"/>
  <c r="A732" i="1"/>
  <c r="C732" i="1"/>
  <c r="D732" i="1"/>
  <c r="J732" i="1"/>
  <c r="A733" i="1"/>
  <c r="C733" i="1"/>
  <c r="J733" i="1"/>
  <c r="A734" i="1"/>
  <c r="C734" i="1"/>
  <c r="J734" i="1"/>
  <c r="A735" i="1"/>
  <c r="C735" i="1"/>
  <c r="J735" i="1"/>
  <c r="A736" i="1"/>
  <c r="C736" i="1"/>
  <c r="J736" i="1"/>
  <c r="A737" i="1"/>
  <c r="C737" i="1"/>
  <c r="J737" i="1"/>
  <c r="A738" i="1"/>
  <c r="C738" i="1"/>
  <c r="J738" i="1"/>
  <c r="A739" i="1"/>
  <c r="C739" i="1"/>
  <c r="J739" i="1"/>
  <c r="A740" i="1"/>
  <c r="C740" i="1"/>
  <c r="J740" i="1"/>
  <c r="A741" i="1"/>
  <c r="C741" i="1"/>
  <c r="J741" i="1"/>
  <c r="A742" i="1"/>
  <c r="C742" i="1"/>
  <c r="J742" i="1"/>
  <c r="A2848" i="1"/>
  <c r="A743" i="1"/>
  <c r="C743" i="1"/>
  <c r="J743" i="1"/>
  <c r="A744" i="1"/>
  <c r="C744" i="1"/>
  <c r="D744" i="1"/>
  <c r="J744" i="1"/>
  <c r="A745" i="1"/>
  <c r="C745" i="1"/>
  <c r="J745" i="1"/>
  <c r="A746" i="1"/>
  <c r="C746" i="1"/>
  <c r="J746" i="1"/>
  <c r="A747" i="1"/>
  <c r="C747" i="1"/>
  <c r="J747" i="1"/>
  <c r="A748" i="1"/>
  <c r="C748" i="1"/>
  <c r="D748" i="1"/>
  <c r="J748" i="1"/>
  <c r="A749" i="1"/>
  <c r="C749" i="1"/>
  <c r="J749" i="1"/>
  <c r="A750" i="1"/>
  <c r="C750" i="1"/>
  <c r="D750" i="1"/>
  <c r="J750" i="1"/>
  <c r="A751" i="1"/>
  <c r="C751" i="1"/>
  <c r="D751" i="1"/>
  <c r="J751" i="1"/>
  <c r="A752" i="1"/>
  <c r="C752" i="1"/>
  <c r="D752" i="1"/>
  <c r="J752" i="1"/>
  <c r="A753" i="1"/>
  <c r="C753" i="1"/>
  <c r="J753" i="1"/>
  <c r="A754" i="1"/>
  <c r="C754" i="1"/>
  <c r="J754" i="1"/>
  <c r="A755" i="1"/>
  <c r="C755" i="1"/>
  <c r="J755" i="1"/>
  <c r="A2849" i="1"/>
  <c r="A756" i="1"/>
  <c r="C756" i="1"/>
  <c r="D756" i="1"/>
  <c r="J756" i="1"/>
  <c r="A757" i="1"/>
  <c r="C757" i="1"/>
  <c r="J757" i="1"/>
  <c r="A758" i="1"/>
  <c r="C758" i="1"/>
  <c r="D758" i="1"/>
  <c r="J758" i="1"/>
  <c r="A759" i="1"/>
  <c r="C759" i="1"/>
  <c r="J759" i="1"/>
  <c r="A760" i="1"/>
  <c r="C760" i="1"/>
  <c r="J760" i="1"/>
  <c r="A761" i="1"/>
  <c r="C761" i="1"/>
  <c r="J761" i="1"/>
  <c r="A762" i="1"/>
  <c r="C762" i="1"/>
  <c r="J762" i="1"/>
  <c r="A763" i="1"/>
  <c r="C763" i="1"/>
  <c r="J763" i="1"/>
  <c r="A2850" i="1"/>
  <c r="A764" i="1"/>
  <c r="C764" i="1"/>
  <c r="D764" i="1"/>
  <c r="J764" i="1"/>
  <c r="A765" i="1"/>
  <c r="C765" i="1"/>
  <c r="D765" i="1"/>
  <c r="J765" i="1"/>
  <c r="A766" i="1"/>
  <c r="C766" i="1"/>
  <c r="J766" i="1"/>
  <c r="A767" i="1"/>
  <c r="C767" i="1"/>
  <c r="J767" i="1"/>
  <c r="A768" i="1"/>
  <c r="C768" i="1"/>
  <c r="J768" i="1"/>
  <c r="A769" i="1"/>
  <c r="C769" i="1"/>
  <c r="D769" i="1"/>
  <c r="J769" i="1"/>
  <c r="A770" i="1"/>
  <c r="C770" i="1"/>
  <c r="J770" i="1"/>
  <c r="A771" i="1"/>
  <c r="C771" i="1"/>
  <c r="D771" i="1"/>
  <c r="J771" i="1"/>
  <c r="A772" i="1"/>
  <c r="C772" i="1"/>
  <c r="J772" i="1"/>
  <c r="A773" i="1"/>
  <c r="C773" i="1"/>
  <c r="J773" i="1"/>
  <c r="A774" i="1"/>
  <c r="C774" i="1"/>
  <c r="J774" i="1"/>
  <c r="A775" i="1"/>
  <c r="C775" i="1"/>
  <c r="J775" i="1"/>
  <c r="A776" i="1"/>
  <c r="C776" i="1"/>
  <c r="J776" i="1"/>
  <c r="A777" i="1"/>
  <c r="C777" i="1"/>
  <c r="J777" i="1"/>
  <c r="A778" i="1"/>
  <c r="C778" i="1"/>
  <c r="J778" i="1"/>
  <c r="A779" i="1"/>
  <c r="C779" i="1"/>
  <c r="J779" i="1"/>
  <c r="A780" i="1"/>
  <c r="C780" i="1"/>
  <c r="J780" i="1"/>
  <c r="A781" i="1"/>
  <c r="C781" i="1"/>
  <c r="D781" i="1"/>
  <c r="J781" i="1"/>
  <c r="A782" i="1"/>
  <c r="C782" i="1"/>
  <c r="J782" i="1"/>
  <c r="A783" i="1"/>
  <c r="C783" i="1"/>
  <c r="D783" i="1"/>
  <c r="J783" i="1"/>
  <c r="A784" i="1"/>
  <c r="C784" i="1"/>
  <c r="J784" i="1"/>
  <c r="A785" i="1"/>
  <c r="C785" i="1"/>
  <c r="J785" i="1"/>
  <c r="A786" i="1"/>
  <c r="C786" i="1"/>
  <c r="J786" i="1"/>
  <c r="A787" i="1"/>
  <c r="C787" i="1"/>
  <c r="J787" i="1"/>
  <c r="A788" i="1"/>
  <c r="C788" i="1"/>
  <c r="J788" i="1"/>
  <c r="A789" i="1"/>
  <c r="C789" i="1"/>
  <c r="D789" i="1"/>
  <c r="J789" i="1"/>
  <c r="A790" i="1"/>
  <c r="C790" i="1"/>
  <c r="J790" i="1"/>
  <c r="A791" i="1"/>
  <c r="C791" i="1"/>
  <c r="J791" i="1"/>
  <c r="A792" i="1"/>
  <c r="C792" i="1"/>
  <c r="D792" i="1"/>
  <c r="J792" i="1"/>
  <c r="A793" i="1"/>
  <c r="C793" i="1"/>
  <c r="D793" i="1"/>
  <c r="J793" i="1"/>
  <c r="A794" i="1"/>
  <c r="C794" i="1"/>
  <c r="J794" i="1"/>
  <c r="A2851" i="1"/>
  <c r="A795" i="1"/>
  <c r="C795" i="1"/>
  <c r="D795" i="1"/>
  <c r="J795" i="1"/>
  <c r="A796" i="1"/>
  <c r="C796" i="1"/>
  <c r="J796" i="1"/>
  <c r="A797" i="1"/>
  <c r="C797" i="1"/>
  <c r="J797" i="1"/>
  <c r="A798" i="1"/>
  <c r="C798" i="1"/>
  <c r="D798" i="1"/>
  <c r="J798" i="1"/>
  <c r="A799" i="1"/>
  <c r="C799" i="1"/>
  <c r="D799" i="1"/>
  <c r="J799" i="1"/>
  <c r="A800" i="1"/>
  <c r="C800" i="1"/>
  <c r="J800" i="1"/>
  <c r="A801" i="1"/>
  <c r="C801" i="1"/>
  <c r="D801" i="1"/>
  <c r="J801" i="1"/>
  <c r="A802" i="1"/>
  <c r="C802" i="1"/>
  <c r="D802" i="1"/>
  <c r="J802" i="1"/>
  <c r="A803" i="1"/>
  <c r="C803" i="1"/>
  <c r="J803" i="1"/>
  <c r="A804" i="1"/>
  <c r="C804" i="1"/>
  <c r="J804" i="1"/>
  <c r="A2852" i="1"/>
  <c r="A805" i="1"/>
  <c r="C805" i="1"/>
  <c r="J805" i="1"/>
  <c r="A806" i="1"/>
  <c r="C806" i="1"/>
  <c r="J806" i="1"/>
  <c r="A807" i="1"/>
  <c r="C807" i="1"/>
  <c r="D807" i="1"/>
  <c r="J807" i="1"/>
  <c r="A808" i="1"/>
  <c r="C808" i="1"/>
  <c r="J808" i="1"/>
  <c r="A2853" i="1"/>
  <c r="A809" i="1"/>
  <c r="C809" i="1"/>
  <c r="D809" i="1"/>
  <c r="J809" i="1"/>
  <c r="A810" i="1"/>
  <c r="C810" i="1"/>
  <c r="J810" i="1"/>
  <c r="A811" i="1"/>
  <c r="C811" i="1"/>
  <c r="D811" i="1"/>
  <c r="J811" i="1"/>
  <c r="A812" i="1"/>
  <c r="C812" i="1"/>
  <c r="D812" i="1"/>
  <c r="J812" i="1"/>
  <c r="A813" i="1"/>
  <c r="C813" i="1"/>
  <c r="J813" i="1"/>
  <c r="A814" i="1"/>
  <c r="C814" i="1"/>
  <c r="J814" i="1"/>
  <c r="A815" i="1"/>
  <c r="C815" i="1"/>
  <c r="J815" i="1"/>
  <c r="A3128" i="1"/>
  <c r="A816" i="1"/>
  <c r="C816" i="1"/>
  <c r="J816" i="1"/>
  <c r="A817" i="1"/>
  <c r="C817" i="1"/>
  <c r="J817" i="1"/>
  <c r="A818" i="1"/>
  <c r="C818" i="1"/>
  <c r="D818" i="1"/>
  <c r="J818" i="1"/>
  <c r="A819" i="1"/>
  <c r="C819" i="1"/>
  <c r="D819" i="1"/>
  <c r="J819" i="1"/>
  <c r="A820" i="1"/>
  <c r="C820" i="1"/>
  <c r="D820" i="1"/>
  <c r="J820" i="1"/>
  <c r="A821" i="1"/>
  <c r="C821" i="1"/>
  <c r="D821" i="1"/>
  <c r="J821" i="1"/>
  <c r="A822" i="1"/>
  <c r="C822" i="1"/>
  <c r="J822" i="1"/>
  <c r="A823" i="1"/>
  <c r="C823" i="1"/>
  <c r="J823" i="1"/>
  <c r="A824" i="1"/>
  <c r="C824" i="1"/>
  <c r="D824" i="1"/>
  <c r="J824" i="1"/>
  <c r="A3129" i="1"/>
  <c r="A825" i="1"/>
  <c r="C825" i="1"/>
  <c r="J825" i="1"/>
  <c r="A826" i="1"/>
  <c r="C826" i="1"/>
  <c r="D826" i="1"/>
  <c r="J826" i="1"/>
  <c r="A2854" i="1"/>
  <c r="A827" i="1"/>
  <c r="C827" i="1"/>
  <c r="J827" i="1"/>
  <c r="A3130" i="1"/>
  <c r="A828" i="1"/>
  <c r="C828" i="1"/>
  <c r="D828" i="1"/>
  <c r="J828" i="1"/>
  <c r="A829" i="1"/>
  <c r="C829" i="1"/>
  <c r="J829" i="1"/>
  <c r="A830" i="1"/>
  <c r="C830" i="1"/>
  <c r="D830" i="1"/>
  <c r="J830" i="1"/>
  <c r="A831" i="1"/>
  <c r="C831" i="1"/>
  <c r="J831" i="1"/>
  <c r="A832" i="1"/>
  <c r="C832" i="1"/>
  <c r="D832" i="1"/>
  <c r="J832" i="1"/>
  <c r="A833" i="1"/>
  <c r="C833" i="1"/>
  <c r="J833" i="1"/>
  <c r="A834" i="1"/>
  <c r="C834" i="1"/>
  <c r="J834" i="1"/>
  <c r="A835" i="1"/>
  <c r="C835" i="1"/>
  <c r="D835" i="1"/>
  <c r="J835" i="1"/>
  <c r="A836" i="1"/>
  <c r="C836" i="1"/>
  <c r="D836" i="1"/>
  <c r="J836" i="1"/>
  <c r="A2855" i="1"/>
  <c r="A837" i="1"/>
  <c r="C837" i="1"/>
  <c r="D837" i="1"/>
  <c r="J837" i="1"/>
  <c r="A838" i="1"/>
  <c r="C838" i="1"/>
  <c r="J838" i="1"/>
  <c r="A839" i="1"/>
  <c r="C839" i="1"/>
  <c r="D839" i="1"/>
  <c r="J839" i="1"/>
  <c r="A840" i="1"/>
  <c r="C840" i="1"/>
  <c r="D840" i="1"/>
  <c r="J840" i="1"/>
  <c r="A2856" i="1"/>
  <c r="A841" i="1"/>
  <c r="C841" i="1"/>
  <c r="D841" i="1"/>
  <c r="J841" i="1"/>
  <c r="A842" i="1"/>
  <c r="C842" i="1"/>
  <c r="J842" i="1"/>
  <c r="A843" i="1"/>
  <c r="C843" i="1"/>
  <c r="J843" i="1"/>
  <c r="A2857" i="1"/>
  <c r="A844" i="1"/>
  <c r="C844" i="1"/>
  <c r="J844" i="1"/>
  <c r="A845" i="1"/>
  <c r="C845" i="1"/>
  <c r="J845" i="1"/>
  <c r="A846" i="1"/>
  <c r="C846" i="1"/>
  <c r="J846" i="1"/>
  <c r="A847" i="1"/>
  <c r="C847" i="1"/>
  <c r="D847" i="1"/>
  <c r="J847" i="1"/>
  <c r="A848" i="1"/>
  <c r="C848" i="1"/>
  <c r="J848" i="1"/>
  <c r="A3131" i="1"/>
  <c r="A2858" i="1"/>
  <c r="A849" i="1"/>
  <c r="C849" i="1"/>
  <c r="D849" i="1"/>
  <c r="J849" i="1"/>
  <c r="A850" i="1"/>
  <c r="C850" i="1"/>
  <c r="D850" i="1"/>
  <c r="J850" i="1"/>
  <c r="A851" i="1"/>
  <c r="C851" i="1"/>
  <c r="D851" i="1"/>
  <c r="J851" i="1"/>
  <c r="A852" i="1"/>
  <c r="C852" i="1"/>
  <c r="J852" i="1"/>
  <c r="A853" i="1"/>
  <c r="C853" i="1"/>
  <c r="J853" i="1"/>
  <c r="A854" i="1"/>
  <c r="C854" i="1"/>
  <c r="J854" i="1"/>
  <c r="A855" i="1"/>
  <c r="C855" i="1"/>
  <c r="D855" i="1"/>
  <c r="J855" i="1"/>
  <c r="A856" i="1"/>
  <c r="C856" i="1"/>
  <c r="J856" i="1"/>
  <c r="A857" i="1"/>
  <c r="C857" i="1"/>
  <c r="J857" i="1"/>
  <c r="A858" i="1"/>
  <c r="C858" i="1"/>
  <c r="J858" i="1"/>
  <c r="A859" i="1"/>
  <c r="C859" i="1"/>
  <c r="J859" i="1"/>
  <c r="A860" i="1"/>
  <c r="C860" i="1"/>
  <c r="J860" i="1"/>
  <c r="A861" i="1"/>
  <c r="C861" i="1"/>
  <c r="J861" i="1"/>
  <c r="A862" i="1"/>
  <c r="C862" i="1"/>
  <c r="D862" i="1"/>
  <c r="J862" i="1"/>
  <c r="A863" i="1"/>
  <c r="C863" i="1"/>
  <c r="J863" i="1"/>
  <c r="A2859" i="1"/>
  <c r="A864" i="1"/>
  <c r="C864" i="1"/>
  <c r="D864" i="1"/>
  <c r="J864" i="1"/>
  <c r="A2860" i="1"/>
  <c r="A865" i="1"/>
  <c r="C865" i="1"/>
  <c r="J865" i="1"/>
  <c r="A866" i="1"/>
  <c r="C866" i="1"/>
  <c r="J866" i="1"/>
  <c r="A2861" i="1"/>
  <c r="A2862" i="1"/>
  <c r="A867" i="1"/>
  <c r="C867" i="1"/>
  <c r="J867" i="1"/>
  <c r="A868" i="1"/>
  <c r="C868" i="1"/>
  <c r="J868" i="1"/>
  <c r="A869" i="1"/>
  <c r="C869" i="1"/>
  <c r="D869" i="1"/>
  <c r="J869" i="1"/>
  <c r="A870" i="1"/>
  <c r="C870" i="1"/>
  <c r="J870" i="1"/>
  <c r="A871" i="1"/>
  <c r="C871" i="1"/>
  <c r="D871" i="1"/>
  <c r="J871" i="1"/>
  <c r="A872" i="1"/>
  <c r="C872" i="1"/>
  <c r="J872" i="1"/>
  <c r="A873" i="1"/>
  <c r="C873" i="1"/>
  <c r="D873" i="1"/>
  <c r="J873" i="1"/>
  <c r="A874" i="1"/>
  <c r="C874" i="1"/>
  <c r="J874" i="1"/>
  <c r="A2863" i="1"/>
  <c r="A875" i="1"/>
  <c r="C875" i="1"/>
  <c r="D875" i="1"/>
  <c r="J875" i="1"/>
  <c r="A876" i="1"/>
  <c r="C876" i="1"/>
  <c r="J876" i="1"/>
  <c r="A877" i="1"/>
  <c r="C877" i="1"/>
  <c r="D877" i="1"/>
  <c r="J877" i="1"/>
  <c r="A878" i="1"/>
  <c r="C878" i="1"/>
  <c r="D878" i="1"/>
  <c r="J878" i="1"/>
  <c r="A879" i="1"/>
  <c r="C879" i="1"/>
  <c r="J879" i="1"/>
  <c r="A2864" i="1"/>
  <c r="A880" i="1"/>
  <c r="C880" i="1"/>
  <c r="J880" i="1"/>
  <c r="A881" i="1"/>
  <c r="C881" i="1"/>
  <c r="D881" i="1"/>
  <c r="J881" i="1"/>
  <c r="A882" i="1"/>
  <c r="C882" i="1"/>
  <c r="D882" i="1"/>
  <c r="J882" i="1"/>
  <c r="A883" i="1"/>
  <c r="C883" i="1"/>
  <c r="J883" i="1"/>
  <c r="A884" i="1"/>
  <c r="C884" i="1"/>
  <c r="D884" i="1"/>
  <c r="J884" i="1"/>
  <c r="A885" i="1"/>
  <c r="C885" i="1"/>
  <c r="D885" i="1"/>
  <c r="J885" i="1"/>
  <c r="A886" i="1"/>
  <c r="C886" i="1"/>
  <c r="J886" i="1"/>
  <c r="A887" i="1"/>
  <c r="C887" i="1"/>
  <c r="D887" i="1"/>
  <c r="J887" i="1"/>
  <c r="A888" i="1"/>
  <c r="C888" i="1"/>
  <c r="D888" i="1"/>
  <c r="J888" i="1"/>
  <c r="A889" i="1"/>
  <c r="C889" i="1"/>
  <c r="J889" i="1"/>
  <c r="A890" i="1"/>
  <c r="C890" i="1"/>
  <c r="D890" i="1"/>
  <c r="J890" i="1"/>
  <c r="A891" i="1"/>
  <c r="C891" i="1"/>
  <c r="D891" i="1"/>
  <c r="J891" i="1"/>
  <c r="A892" i="1"/>
  <c r="C892" i="1"/>
  <c r="J892" i="1"/>
  <c r="A2865" i="1"/>
  <c r="A893" i="1"/>
  <c r="C893" i="1"/>
  <c r="D893" i="1"/>
  <c r="J893" i="1"/>
  <c r="A894" i="1"/>
  <c r="C894" i="1"/>
  <c r="D894" i="1"/>
  <c r="J894" i="1"/>
  <c r="A2866" i="1"/>
  <c r="A895" i="1"/>
  <c r="C895" i="1"/>
  <c r="D895" i="1"/>
  <c r="J895" i="1"/>
  <c r="A896" i="1"/>
  <c r="C896" i="1"/>
  <c r="D896" i="1"/>
  <c r="J896" i="1"/>
  <c r="A2867" i="1"/>
  <c r="A897" i="1"/>
  <c r="C897" i="1"/>
  <c r="J897" i="1"/>
  <c r="A898" i="1"/>
  <c r="C898" i="1"/>
  <c r="D898" i="1"/>
  <c r="J898" i="1"/>
  <c r="A899" i="1"/>
  <c r="C899" i="1"/>
  <c r="J899" i="1"/>
  <c r="A2868" i="1"/>
  <c r="A2869" i="1"/>
  <c r="A900" i="1"/>
  <c r="C900" i="1"/>
  <c r="J900" i="1"/>
  <c r="A901" i="1"/>
  <c r="C901" i="1"/>
  <c r="D901" i="1"/>
  <c r="J901" i="1"/>
  <c r="A902" i="1"/>
  <c r="C902" i="1"/>
  <c r="D902" i="1"/>
  <c r="J902" i="1"/>
  <c r="A903" i="1"/>
  <c r="C903" i="1"/>
  <c r="D903" i="1"/>
  <c r="J903" i="1"/>
  <c r="A904" i="1"/>
  <c r="C904" i="1"/>
  <c r="J904" i="1"/>
  <c r="A905" i="1"/>
  <c r="C905" i="1"/>
  <c r="J905" i="1"/>
  <c r="A906" i="1"/>
  <c r="C906" i="1"/>
  <c r="J906" i="1"/>
  <c r="A907" i="1"/>
  <c r="C907" i="1"/>
  <c r="J907" i="1"/>
  <c r="A908" i="1"/>
  <c r="C908" i="1"/>
  <c r="D908" i="1"/>
  <c r="J908" i="1"/>
  <c r="A3132" i="1"/>
  <c r="A909" i="1"/>
  <c r="C909" i="1"/>
  <c r="J909" i="1"/>
  <c r="A3133" i="1"/>
  <c r="A910" i="1"/>
  <c r="C910" i="1"/>
  <c r="J910" i="1"/>
  <c r="A3134" i="1"/>
  <c r="A911" i="1"/>
  <c r="C911" i="1"/>
  <c r="D911" i="1"/>
  <c r="J911" i="1"/>
  <c r="A912" i="1"/>
  <c r="C912" i="1"/>
  <c r="D912" i="1"/>
  <c r="J912" i="1"/>
  <c r="A2870" i="1"/>
  <c r="A913" i="1"/>
  <c r="C913" i="1"/>
  <c r="D913" i="1"/>
  <c r="J913" i="1"/>
  <c r="A914" i="1"/>
  <c r="C914" i="1"/>
  <c r="D914" i="1"/>
  <c r="J914" i="1"/>
  <c r="A3135" i="1"/>
  <c r="A915" i="1"/>
  <c r="C915" i="1"/>
  <c r="D915" i="1"/>
  <c r="J915" i="1"/>
  <c r="A3136" i="1"/>
  <c r="A3137" i="1"/>
  <c r="A916" i="1"/>
  <c r="C916" i="1"/>
  <c r="J916" i="1"/>
  <c r="A917" i="1"/>
  <c r="C917" i="1"/>
  <c r="J917" i="1"/>
  <c r="A3138" i="1"/>
  <c r="A3139" i="1"/>
  <c r="A918" i="1"/>
  <c r="C918" i="1"/>
  <c r="J918" i="1"/>
  <c r="A919" i="1"/>
  <c r="C919" i="1"/>
  <c r="J919" i="1"/>
  <c r="A920" i="1"/>
  <c r="C920" i="1"/>
  <c r="D920" i="1"/>
  <c r="J920" i="1"/>
  <c r="A921" i="1"/>
  <c r="C921" i="1"/>
  <c r="J921" i="1"/>
  <c r="A922" i="1"/>
  <c r="J922" i="1"/>
  <c r="A923" i="1"/>
  <c r="C923" i="1"/>
  <c r="D923" i="1"/>
  <c r="J923" i="1"/>
  <c r="A924" i="1"/>
  <c r="C924" i="1"/>
  <c r="D924" i="1"/>
  <c r="J924" i="1"/>
  <c r="A2871" i="1"/>
  <c r="A925" i="1"/>
  <c r="C925" i="1"/>
  <c r="J925" i="1"/>
  <c r="A926" i="1"/>
  <c r="C926" i="1"/>
  <c r="D926" i="1"/>
  <c r="J926" i="1"/>
  <c r="A927" i="1"/>
  <c r="C927" i="1"/>
  <c r="D927" i="1"/>
  <c r="J927" i="1"/>
  <c r="A928" i="1"/>
  <c r="C928" i="1"/>
  <c r="J928" i="1"/>
  <c r="A929" i="1"/>
  <c r="C929" i="1"/>
  <c r="D929" i="1"/>
  <c r="J929" i="1"/>
  <c r="A930" i="1"/>
  <c r="C930" i="1"/>
  <c r="J930" i="1"/>
  <c r="A931" i="1"/>
  <c r="C931" i="1"/>
  <c r="J931" i="1"/>
  <c r="A932" i="1"/>
  <c r="C932" i="1"/>
  <c r="J932" i="1"/>
  <c r="A2872" i="1"/>
  <c r="A933" i="1"/>
  <c r="C933" i="1"/>
  <c r="D933" i="1"/>
  <c r="J933" i="1"/>
  <c r="A934" i="1"/>
  <c r="C934" i="1"/>
  <c r="D934" i="1"/>
  <c r="J934" i="1"/>
  <c r="A935" i="1"/>
  <c r="C935" i="1"/>
  <c r="J935" i="1"/>
  <c r="A936" i="1"/>
  <c r="C936" i="1"/>
  <c r="D936" i="1"/>
  <c r="J936" i="1"/>
  <c r="A937" i="1"/>
  <c r="C937" i="1"/>
  <c r="J937" i="1"/>
  <c r="A938" i="1"/>
  <c r="C938" i="1"/>
  <c r="J938" i="1"/>
  <c r="A939" i="1"/>
  <c r="C939" i="1"/>
  <c r="J939" i="1"/>
  <c r="A940" i="1"/>
  <c r="C940" i="1"/>
  <c r="D940" i="1"/>
  <c r="J940" i="1"/>
  <c r="A941" i="1"/>
  <c r="C941" i="1"/>
  <c r="D941" i="1"/>
  <c r="J941" i="1"/>
  <c r="A2873" i="1"/>
  <c r="A942" i="1"/>
  <c r="C942" i="1"/>
  <c r="D942" i="1"/>
  <c r="J942" i="1"/>
  <c r="A943" i="1"/>
  <c r="C943" i="1"/>
  <c r="J943" i="1"/>
  <c r="A944" i="1"/>
  <c r="C944" i="1"/>
  <c r="J944" i="1"/>
  <c r="A945" i="1"/>
  <c r="C945" i="1"/>
  <c r="J945" i="1"/>
  <c r="A2874" i="1"/>
  <c r="A946" i="1"/>
  <c r="C946" i="1"/>
  <c r="J946" i="1"/>
  <c r="A947" i="1"/>
  <c r="C947" i="1"/>
  <c r="J947" i="1"/>
  <c r="A948" i="1"/>
  <c r="C948" i="1"/>
  <c r="J948" i="1"/>
  <c r="A949" i="1"/>
  <c r="C949" i="1"/>
  <c r="D949" i="1"/>
  <c r="J949" i="1"/>
  <c r="A2875" i="1"/>
  <c r="A950" i="1"/>
  <c r="C950" i="1"/>
  <c r="D950" i="1"/>
  <c r="J950" i="1"/>
  <c r="A951" i="1"/>
  <c r="C951" i="1"/>
  <c r="J951" i="1"/>
  <c r="A2876" i="1"/>
  <c r="A952" i="1"/>
  <c r="C952" i="1"/>
  <c r="D952" i="1"/>
  <c r="J952" i="1"/>
  <c r="A953" i="1"/>
  <c r="C953" i="1"/>
  <c r="J953" i="1"/>
  <c r="A954" i="1"/>
  <c r="C954" i="1"/>
  <c r="D954" i="1"/>
  <c r="J954" i="1"/>
  <c r="A955" i="1"/>
  <c r="C955" i="1"/>
  <c r="D955" i="1"/>
  <c r="J955" i="1"/>
  <c r="A956" i="1"/>
  <c r="C956" i="1"/>
  <c r="J956" i="1"/>
  <c r="A957" i="1"/>
  <c r="C957" i="1"/>
  <c r="J957" i="1"/>
  <c r="A958" i="1"/>
  <c r="C958" i="1"/>
  <c r="D958" i="1"/>
  <c r="J958" i="1"/>
  <c r="A959" i="1"/>
  <c r="C959" i="1"/>
  <c r="J959" i="1"/>
  <c r="A960" i="1"/>
  <c r="C960" i="1"/>
  <c r="J960" i="1"/>
  <c r="A961" i="1"/>
  <c r="C961" i="1"/>
  <c r="J961" i="1"/>
  <c r="A962" i="1"/>
  <c r="C962" i="1"/>
  <c r="J962" i="1"/>
  <c r="A963" i="1"/>
  <c r="C963" i="1"/>
  <c r="J963" i="1"/>
  <c r="A964" i="1"/>
  <c r="C964" i="1"/>
  <c r="D964" i="1"/>
  <c r="J964" i="1"/>
  <c r="A965" i="1"/>
  <c r="C965" i="1"/>
  <c r="D965" i="1"/>
  <c r="J965" i="1"/>
  <c r="A2877" i="1"/>
  <c r="A966" i="1"/>
  <c r="C966" i="1"/>
  <c r="D966" i="1"/>
  <c r="J966" i="1"/>
  <c r="A2878" i="1"/>
  <c r="A967" i="1"/>
  <c r="C967" i="1"/>
  <c r="J967" i="1"/>
  <c r="A2879" i="1"/>
  <c r="A968" i="1"/>
  <c r="C968" i="1"/>
  <c r="D968" i="1"/>
  <c r="J968" i="1"/>
  <c r="A969" i="1"/>
  <c r="C969" i="1"/>
  <c r="D969" i="1"/>
  <c r="J969" i="1"/>
  <c r="A970" i="1"/>
  <c r="C970" i="1"/>
  <c r="J970" i="1"/>
  <c r="A971" i="1"/>
  <c r="C971" i="1"/>
  <c r="J971" i="1"/>
  <c r="A2880" i="1"/>
  <c r="A972" i="1"/>
  <c r="C972" i="1"/>
  <c r="D972" i="1"/>
  <c r="J972" i="1"/>
  <c r="A973" i="1"/>
  <c r="C973" i="1"/>
  <c r="D973" i="1"/>
  <c r="J973" i="1"/>
  <c r="A974" i="1"/>
  <c r="C974" i="1"/>
  <c r="J974" i="1"/>
  <c r="A975" i="1"/>
  <c r="C975" i="1"/>
  <c r="J975" i="1"/>
  <c r="A976" i="1"/>
  <c r="C976" i="1"/>
  <c r="J976" i="1"/>
  <c r="A977" i="1"/>
  <c r="C977" i="1"/>
  <c r="J977" i="1"/>
  <c r="A978" i="1"/>
  <c r="C978" i="1"/>
  <c r="J978" i="1"/>
  <c r="A979" i="1"/>
  <c r="C979" i="1"/>
  <c r="D979" i="1"/>
  <c r="J979" i="1"/>
  <c r="A980" i="1"/>
  <c r="C980" i="1"/>
  <c r="D980" i="1"/>
  <c r="J980" i="1"/>
  <c r="A981" i="1"/>
  <c r="C981" i="1"/>
  <c r="D981" i="1"/>
  <c r="J981" i="1"/>
  <c r="A2881" i="1"/>
  <c r="A982" i="1"/>
  <c r="C982" i="1"/>
  <c r="J982" i="1"/>
  <c r="A983" i="1"/>
  <c r="C983" i="1"/>
  <c r="D983" i="1"/>
  <c r="J983" i="1"/>
  <c r="A984" i="1"/>
  <c r="C984" i="1"/>
  <c r="J984" i="1"/>
  <c r="A985" i="1"/>
  <c r="C985" i="1"/>
  <c r="D985" i="1"/>
  <c r="J985" i="1"/>
  <c r="A986" i="1"/>
  <c r="C986" i="1"/>
  <c r="D986" i="1"/>
  <c r="J986" i="1"/>
  <c r="A987" i="1"/>
  <c r="C987" i="1"/>
  <c r="J987" i="1"/>
  <c r="A988" i="1"/>
  <c r="C988" i="1"/>
  <c r="J988" i="1"/>
  <c r="A989" i="1"/>
  <c r="C989" i="1"/>
  <c r="J989" i="1"/>
  <c r="A990" i="1"/>
  <c r="C990" i="1"/>
  <c r="D990" i="1"/>
  <c r="J990" i="1"/>
  <c r="A991" i="1"/>
  <c r="C991" i="1"/>
  <c r="J991" i="1"/>
  <c r="A992" i="1"/>
  <c r="C992" i="1"/>
  <c r="D992" i="1"/>
  <c r="J992" i="1"/>
  <c r="A993" i="1"/>
  <c r="C993" i="1"/>
  <c r="J993" i="1"/>
  <c r="A994" i="1"/>
  <c r="C994" i="1"/>
  <c r="J994" i="1"/>
  <c r="A995" i="1"/>
  <c r="C995" i="1"/>
  <c r="D995" i="1"/>
  <c r="J995" i="1"/>
  <c r="A996" i="1"/>
  <c r="C996" i="1"/>
  <c r="J996" i="1"/>
  <c r="A997" i="1"/>
  <c r="C997" i="1"/>
  <c r="D997" i="1"/>
  <c r="J997" i="1"/>
  <c r="A998" i="1"/>
  <c r="C998" i="1"/>
  <c r="D998" i="1"/>
  <c r="J998" i="1"/>
  <c r="A999" i="1"/>
  <c r="C999" i="1"/>
  <c r="J999" i="1"/>
  <c r="A1000" i="1"/>
  <c r="C1000" i="1"/>
  <c r="D1000" i="1"/>
  <c r="J1000" i="1"/>
  <c r="A1001" i="1"/>
  <c r="C1001" i="1"/>
  <c r="J1001" i="1"/>
  <c r="A1002" i="1"/>
  <c r="C1002" i="1"/>
  <c r="J1002" i="1"/>
  <c r="A1003" i="1"/>
  <c r="C1003" i="1"/>
  <c r="D1003" i="1"/>
  <c r="J1003" i="1"/>
  <c r="A1004" i="1"/>
  <c r="C1004" i="1"/>
  <c r="J1004" i="1"/>
  <c r="A1005" i="1"/>
  <c r="C1005" i="1"/>
  <c r="D1005" i="1"/>
  <c r="J1005" i="1"/>
  <c r="A1006" i="1"/>
  <c r="C1006" i="1"/>
  <c r="J1006" i="1"/>
  <c r="A1007" i="1"/>
  <c r="C1007" i="1"/>
  <c r="J1007" i="1"/>
  <c r="A1008" i="1"/>
  <c r="C1008" i="1"/>
  <c r="J1008" i="1"/>
  <c r="A1009" i="1"/>
  <c r="C1009" i="1"/>
  <c r="J1009" i="1"/>
  <c r="A1010" i="1"/>
  <c r="C1010" i="1"/>
  <c r="J1010" i="1"/>
  <c r="A1011" i="1"/>
  <c r="C1011" i="1"/>
  <c r="D1011" i="1"/>
  <c r="J1011" i="1"/>
  <c r="A1012" i="1"/>
  <c r="C1012" i="1"/>
  <c r="J1012" i="1"/>
  <c r="A1013" i="1"/>
  <c r="C1013" i="1"/>
  <c r="D1013" i="1"/>
  <c r="J1013" i="1"/>
  <c r="A1014" i="1"/>
  <c r="C1014" i="1"/>
  <c r="J1014" i="1"/>
  <c r="A1015" i="1"/>
  <c r="C1015" i="1"/>
  <c r="J1015" i="1"/>
  <c r="A1016" i="1"/>
  <c r="C1016" i="1"/>
  <c r="J1016" i="1"/>
  <c r="A3140" i="1"/>
  <c r="A2882" i="1"/>
  <c r="A3141" i="1"/>
  <c r="A3142" i="1"/>
  <c r="A1017" i="1"/>
  <c r="C1017" i="1"/>
  <c r="D1017" i="1"/>
  <c r="J1017" i="1"/>
  <c r="A1018" i="1"/>
  <c r="C1018" i="1"/>
  <c r="D1018" i="1"/>
  <c r="J1018" i="1"/>
  <c r="A2883" i="1"/>
  <c r="A1019" i="1"/>
  <c r="J1019" i="1"/>
  <c r="A1020" i="1"/>
  <c r="C1020" i="1"/>
  <c r="J1020" i="1"/>
  <c r="A1021" i="1"/>
  <c r="C1021" i="1"/>
  <c r="D1021" i="1"/>
  <c r="J1021" i="1"/>
  <c r="A1022" i="1"/>
  <c r="C1022" i="1"/>
  <c r="D1022" i="1"/>
  <c r="J1022" i="1"/>
  <c r="A1023" i="1"/>
  <c r="C1023" i="1"/>
  <c r="D1023" i="1"/>
  <c r="J1023" i="1"/>
  <c r="A1024" i="1"/>
  <c r="C1024" i="1"/>
  <c r="D1024" i="1"/>
  <c r="J1024" i="1"/>
  <c r="A1025" i="1"/>
  <c r="J1025" i="1"/>
  <c r="A1026" i="1"/>
  <c r="C1026" i="1"/>
  <c r="D1026" i="1"/>
  <c r="J1026" i="1"/>
  <c r="A1027" i="1"/>
  <c r="C1027" i="1"/>
  <c r="J1027" i="1"/>
  <c r="A2884" i="1"/>
  <c r="A1028" i="1"/>
  <c r="C1028" i="1"/>
  <c r="J1028" i="1"/>
  <c r="A1029" i="1"/>
  <c r="C1029" i="1"/>
  <c r="J1029" i="1"/>
  <c r="A1030" i="1"/>
  <c r="C1030" i="1"/>
  <c r="D1030" i="1"/>
  <c r="J1030" i="1"/>
  <c r="A1031" i="1"/>
  <c r="C1031" i="1"/>
  <c r="D1031" i="1"/>
  <c r="J1031" i="1"/>
  <c r="A1032" i="1"/>
  <c r="C1032" i="1"/>
  <c r="J1032" i="1"/>
  <c r="A1033" i="1"/>
  <c r="C1033" i="1"/>
  <c r="J1033" i="1"/>
  <c r="A1034" i="1"/>
  <c r="C1034" i="1"/>
  <c r="J1034" i="1"/>
  <c r="A1035" i="1"/>
  <c r="C1035" i="1"/>
  <c r="J1035" i="1"/>
  <c r="A1036" i="1"/>
  <c r="C1036" i="1"/>
  <c r="J1036" i="1"/>
  <c r="A1037" i="1"/>
  <c r="C1037" i="1"/>
  <c r="J1037" i="1"/>
  <c r="A1038" i="1"/>
  <c r="C1038" i="1"/>
  <c r="J1038" i="1"/>
  <c r="A1039" i="1"/>
  <c r="C1039" i="1"/>
  <c r="J1039" i="1"/>
  <c r="A1040" i="1"/>
  <c r="C1040" i="1"/>
  <c r="D1040" i="1"/>
  <c r="J1040" i="1"/>
  <c r="A1041" i="1"/>
  <c r="C1041" i="1"/>
  <c r="J1041" i="1"/>
  <c r="A1042" i="1"/>
  <c r="C1042" i="1"/>
  <c r="D1042" i="1"/>
  <c r="J1042" i="1"/>
  <c r="A1043" i="1"/>
  <c r="C1043" i="1"/>
  <c r="D1043" i="1"/>
  <c r="J1043" i="1"/>
  <c r="A1044" i="1"/>
  <c r="C1044" i="1"/>
  <c r="J1044" i="1"/>
  <c r="A2885" i="1"/>
  <c r="A3143" i="1"/>
  <c r="A2886" i="1"/>
  <c r="A1045" i="1"/>
  <c r="C1045" i="1"/>
  <c r="D1045" i="1"/>
  <c r="J1045" i="1"/>
  <c r="A2887" i="1"/>
  <c r="A2888" i="1"/>
  <c r="A1046" i="1"/>
  <c r="C1046" i="1"/>
  <c r="J1046" i="1"/>
  <c r="A1047" i="1"/>
  <c r="C1047" i="1"/>
  <c r="J1047" i="1"/>
  <c r="A1048" i="1"/>
  <c r="C1048" i="1"/>
  <c r="D1048" i="1"/>
  <c r="J1048" i="1"/>
  <c r="A1049" i="1"/>
  <c r="C1049" i="1"/>
  <c r="J1049" i="1"/>
  <c r="A1050" i="1"/>
  <c r="C1050" i="1"/>
  <c r="J1050" i="1"/>
  <c r="A1051" i="1"/>
  <c r="C1051" i="1"/>
  <c r="D1051" i="1"/>
  <c r="J1051" i="1"/>
  <c r="A1052" i="1"/>
  <c r="C1052" i="1"/>
  <c r="D1052" i="1"/>
  <c r="J1052" i="1"/>
  <c r="A1053" i="1"/>
  <c r="C1053" i="1"/>
  <c r="D1053" i="1"/>
  <c r="J1053" i="1"/>
  <c r="A1054" i="1"/>
  <c r="C1054" i="1"/>
  <c r="D1054" i="1"/>
  <c r="J1054" i="1"/>
  <c r="A2889" i="1"/>
  <c r="A1055" i="1"/>
  <c r="C1055" i="1"/>
  <c r="J1055" i="1"/>
  <c r="A1056" i="1"/>
  <c r="C1056" i="1"/>
  <c r="J1056" i="1"/>
  <c r="A1057" i="1"/>
  <c r="C1057" i="1"/>
  <c r="J1057" i="1"/>
  <c r="A1058" i="1"/>
  <c r="C1058" i="1"/>
  <c r="J1058" i="1"/>
  <c r="A1059" i="1"/>
  <c r="C1059" i="1"/>
  <c r="J1059" i="1"/>
  <c r="A1060" i="1"/>
  <c r="C1060" i="1"/>
  <c r="J1060" i="1"/>
  <c r="A1061" i="1"/>
  <c r="C1061" i="1"/>
  <c r="J1061" i="1"/>
  <c r="A1062" i="1"/>
  <c r="C1062" i="1"/>
  <c r="D1062" i="1"/>
  <c r="J1062" i="1"/>
  <c r="A1063" i="1"/>
  <c r="C1063" i="1"/>
  <c r="J1063" i="1"/>
  <c r="A1064" i="1"/>
  <c r="C1064" i="1"/>
  <c r="J1064" i="1"/>
  <c r="A2890" i="1"/>
  <c r="A1065" i="1"/>
  <c r="C1065" i="1"/>
  <c r="J1065" i="1"/>
  <c r="A1066" i="1"/>
  <c r="C1066" i="1"/>
  <c r="D1066" i="1"/>
  <c r="J1066" i="1"/>
  <c r="A1067" i="1"/>
  <c r="C1067" i="1"/>
  <c r="J1067" i="1"/>
  <c r="A1068" i="1"/>
  <c r="C1068" i="1"/>
  <c r="J1068" i="1"/>
  <c r="A1069" i="1"/>
  <c r="C1069" i="1"/>
  <c r="J1069" i="1"/>
  <c r="A1070" i="1"/>
  <c r="C1070" i="1"/>
  <c r="J1070" i="1"/>
  <c r="A1071" i="1"/>
  <c r="C1071" i="1"/>
  <c r="J1071" i="1"/>
  <c r="A1072" i="1"/>
  <c r="C1072" i="1"/>
  <c r="J1072" i="1"/>
  <c r="A1073" i="1"/>
  <c r="C1073" i="1"/>
  <c r="D1073" i="1"/>
  <c r="J1073" i="1"/>
  <c r="A1074" i="1"/>
  <c r="C1074" i="1"/>
  <c r="D1074" i="1"/>
  <c r="J1074" i="1"/>
  <c r="A1075" i="1"/>
  <c r="C1075" i="1"/>
  <c r="J1075" i="1"/>
  <c r="A1076" i="1"/>
  <c r="C1076" i="1"/>
  <c r="J1076" i="1"/>
  <c r="A1077" i="1"/>
  <c r="C1077" i="1"/>
  <c r="J1077" i="1"/>
  <c r="A1078" i="1"/>
  <c r="C1078" i="1"/>
  <c r="J1078" i="1"/>
  <c r="A1079" i="1"/>
  <c r="C1079" i="1"/>
  <c r="J1079" i="1"/>
  <c r="A1080" i="1"/>
  <c r="C1080" i="1"/>
  <c r="J1080" i="1"/>
  <c r="A1081" i="1"/>
  <c r="C1081" i="1"/>
  <c r="J1081" i="1"/>
  <c r="A1082" i="1"/>
  <c r="C1082" i="1"/>
  <c r="J1082" i="1"/>
  <c r="A1083" i="1"/>
  <c r="C1083" i="1"/>
  <c r="D1083" i="1"/>
  <c r="J1083" i="1"/>
  <c r="A1084" i="1"/>
  <c r="C1084" i="1"/>
  <c r="J1084" i="1"/>
  <c r="A1085" i="1"/>
  <c r="C1085" i="1"/>
  <c r="J1085" i="1"/>
  <c r="A1086" i="1"/>
  <c r="C1086" i="1"/>
  <c r="D1086" i="1"/>
  <c r="J1086" i="1"/>
  <c r="A1087" i="1"/>
  <c r="C1087" i="1"/>
  <c r="D1087" i="1"/>
  <c r="J1087" i="1"/>
  <c r="A1088" i="1"/>
  <c r="C1088" i="1"/>
  <c r="J1088" i="1"/>
  <c r="A1089" i="1"/>
  <c r="C1089" i="1"/>
  <c r="D1089" i="1"/>
  <c r="J1089" i="1"/>
  <c r="A1090" i="1"/>
  <c r="C1090" i="1"/>
  <c r="J1090" i="1"/>
  <c r="A1091" i="1"/>
  <c r="C1091" i="1"/>
  <c r="J1091" i="1"/>
  <c r="A1092" i="1"/>
  <c r="C1092" i="1"/>
  <c r="J1092" i="1"/>
  <c r="A1093" i="1"/>
  <c r="C1093" i="1"/>
  <c r="J1093" i="1"/>
  <c r="A1094" i="1"/>
  <c r="C1094" i="1"/>
  <c r="J1094" i="1"/>
  <c r="A1095" i="1"/>
  <c r="C1095" i="1"/>
  <c r="J1095" i="1"/>
  <c r="A1096" i="1"/>
  <c r="C1096" i="1"/>
  <c r="J1096" i="1"/>
  <c r="A1097" i="1"/>
  <c r="C1097" i="1"/>
  <c r="J1097" i="1"/>
  <c r="A1098" i="1"/>
  <c r="C1098" i="1"/>
  <c r="D1098" i="1"/>
  <c r="J1098" i="1"/>
  <c r="A1099" i="1"/>
  <c r="C1099" i="1"/>
  <c r="J1099" i="1"/>
  <c r="A1100" i="1"/>
  <c r="C1100" i="1"/>
  <c r="J1100" i="1"/>
  <c r="A1101" i="1"/>
  <c r="C1101" i="1"/>
  <c r="D1101" i="1"/>
  <c r="J1101" i="1"/>
  <c r="A1102" i="1"/>
  <c r="C1102" i="1"/>
  <c r="J1102" i="1"/>
  <c r="A1103" i="1"/>
  <c r="C1103" i="1"/>
  <c r="D1103" i="1"/>
  <c r="J1103" i="1"/>
  <c r="A1104" i="1"/>
  <c r="C1104" i="1"/>
  <c r="D1104" i="1"/>
  <c r="J1104" i="1"/>
  <c r="A1105" i="1"/>
  <c r="C1105" i="1"/>
  <c r="J1105" i="1"/>
  <c r="A1106" i="1"/>
  <c r="C1106" i="1"/>
  <c r="J1106" i="1"/>
  <c r="A2891" i="1"/>
  <c r="A1107" i="1"/>
  <c r="C1107" i="1"/>
  <c r="J1107" i="1"/>
  <c r="A2892" i="1"/>
  <c r="A1108" i="1"/>
  <c r="C1108" i="1"/>
  <c r="J1108" i="1"/>
  <c r="A1109" i="1"/>
  <c r="C1109" i="1"/>
  <c r="J1109" i="1"/>
  <c r="A1110" i="1"/>
  <c r="C1110" i="1"/>
  <c r="J1110" i="1"/>
  <c r="A1111" i="1"/>
  <c r="C1111" i="1"/>
  <c r="J1111" i="1"/>
  <c r="A1112" i="1"/>
  <c r="C1112" i="1"/>
  <c r="J1112" i="1"/>
  <c r="A2893" i="1"/>
  <c r="A1113" i="1"/>
  <c r="C1113" i="1"/>
  <c r="D1113" i="1"/>
  <c r="J1113" i="1"/>
  <c r="A1114" i="1"/>
  <c r="C1114" i="1"/>
  <c r="J1114" i="1"/>
  <c r="A1115" i="1"/>
  <c r="C1115" i="1"/>
  <c r="J1115" i="1"/>
  <c r="A1116" i="1"/>
  <c r="C1116" i="1"/>
  <c r="J1116" i="1"/>
  <c r="A1117" i="1"/>
  <c r="C1117" i="1"/>
  <c r="J1117" i="1"/>
  <c r="A1118" i="1"/>
  <c r="C1118" i="1"/>
  <c r="J1118" i="1"/>
  <c r="A2894" i="1"/>
  <c r="A3144" i="1"/>
  <c r="A1119" i="1"/>
  <c r="C1119" i="1"/>
  <c r="J1119" i="1"/>
  <c r="A1120" i="1"/>
  <c r="C1120" i="1"/>
  <c r="J1120" i="1"/>
  <c r="A1121" i="1"/>
  <c r="C1121" i="1"/>
  <c r="J1121" i="1"/>
  <c r="A1122" i="1"/>
  <c r="C1122" i="1"/>
  <c r="D1122" i="1"/>
  <c r="J1122" i="1"/>
  <c r="A1123" i="1"/>
  <c r="C1123" i="1"/>
  <c r="J1123" i="1"/>
  <c r="A1124" i="1"/>
  <c r="C1124" i="1"/>
  <c r="D1124" i="1"/>
  <c r="J1124" i="1"/>
  <c r="A1125" i="1"/>
  <c r="C1125" i="1"/>
  <c r="J1125" i="1"/>
  <c r="A1126" i="1"/>
  <c r="C1126" i="1"/>
  <c r="D1126" i="1"/>
  <c r="J1126" i="1"/>
  <c r="A1127" i="1"/>
  <c r="C1127" i="1"/>
  <c r="J1127" i="1"/>
  <c r="A1128" i="1"/>
  <c r="C1128" i="1"/>
  <c r="J1128" i="1"/>
  <c r="A1129" i="1"/>
  <c r="C1129" i="1"/>
  <c r="J1129" i="1"/>
  <c r="A1130" i="1"/>
  <c r="C1130" i="1"/>
  <c r="J1130" i="1"/>
  <c r="A1131" i="1"/>
  <c r="C1131" i="1"/>
  <c r="D1131" i="1"/>
  <c r="J1131" i="1"/>
  <c r="A1132" i="1"/>
  <c r="C1132" i="1"/>
  <c r="J1132" i="1"/>
  <c r="A1133" i="1"/>
  <c r="C1133" i="1"/>
  <c r="D1133" i="1"/>
  <c r="J1133" i="1"/>
  <c r="A1134" i="1"/>
  <c r="C1134" i="1"/>
  <c r="D1134" i="1"/>
  <c r="J1134" i="1"/>
  <c r="A1135" i="1"/>
  <c r="C1135" i="1"/>
  <c r="D1135" i="1"/>
  <c r="J1135" i="1"/>
  <c r="A1136" i="1"/>
  <c r="C1136" i="1"/>
  <c r="D1136" i="1"/>
  <c r="J1136" i="1"/>
  <c r="A1137" i="1"/>
  <c r="C1137" i="1"/>
  <c r="J1137" i="1"/>
  <c r="A1138" i="1"/>
  <c r="C1138" i="1"/>
  <c r="D1138" i="1"/>
  <c r="J1138" i="1"/>
  <c r="A1139" i="1"/>
  <c r="C1139" i="1"/>
  <c r="J1139" i="1"/>
  <c r="A1140" i="1"/>
  <c r="C1140" i="1"/>
  <c r="J1140" i="1"/>
  <c r="A1141" i="1"/>
  <c r="C1141" i="1"/>
  <c r="J1141" i="1"/>
  <c r="A1142" i="1"/>
  <c r="C1142" i="1"/>
  <c r="J1142" i="1"/>
  <c r="A1143" i="1"/>
  <c r="C1143" i="1"/>
  <c r="J1143" i="1"/>
  <c r="A1144" i="1"/>
  <c r="C1144" i="1"/>
  <c r="J1144" i="1"/>
  <c r="A1145" i="1"/>
  <c r="C1145" i="1"/>
  <c r="J1145" i="1"/>
  <c r="A1146" i="1"/>
  <c r="C1146" i="1"/>
  <c r="D1146" i="1"/>
  <c r="J1146" i="1"/>
  <c r="A1147" i="1"/>
  <c r="C1147" i="1"/>
  <c r="J1147" i="1"/>
  <c r="A2895" i="1"/>
  <c r="A1148" i="1"/>
  <c r="C1148" i="1"/>
  <c r="D1148" i="1"/>
  <c r="J1148" i="1"/>
  <c r="A1149" i="1"/>
  <c r="C1149" i="1"/>
  <c r="J1149" i="1"/>
  <c r="A1150" i="1"/>
  <c r="C1150" i="1"/>
  <c r="D1150" i="1"/>
  <c r="J1150" i="1"/>
  <c r="A1151" i="1"/>
  <c r="C1151" i="1"/>
  <c r="D1151" i="1"/>
  <c r="J1151" i="1"/>
  <c r="A1152" i="1"/>
  <c r="C1152" i="1"/>
  <c r="D1152" i="1"/>
  <c r="J1152" i="1"/>
  <c r="A2896" i="1"/>
  <c r="A1153" i="1"/>
  <c r="C1153" i="1"/>
  <c r="D1153" i="1"/>
  <c r="J1153" i="1"/>
  <c r="A1154" i="1"/>
  <c r="C1154" i="1"/>
  <c r="J1154" i="1"/>
  <c r="A2897" i="1"/>
  <c r="A1155" i="1"/>
  <c r="C1155" i="1"/>
  <c r="J1155" i="1"/>
  <c r="A1156" i="1"/>
  <c r="C1156" i="1"/>
  <c r="D1156" i="1"/>
  <c r="J1156" i="1"/>
  <c r="A1157" i="1"/>
  <c r="C1157" i="1"/>
  <c r="J1157" i="1"/>
  <c r="A1158" i="1"/>
  <c r="C1158" i="1"/>
  <c r="J1158" i="1"/>
  <c r="A1159" i="1"/>
  <c r="C1159" i="1"/>
  <c r="D1159" i="1"/>
  <c r="J1159" i="1"/>
  <c r="A1160" i="1"/>
  <c r="C1160" i="1"/>
  <c r="D1160" i="1"/>
  <c r="J1160" i="1"/>
  <c r="A1161" i="1"/>
  <c r="C1161" i="1"/>
  <c r="J1161" i="1"/>
  <c r="A1162" i="1"/>
  <c r="C1162" i="1"/>
  <c r="J1162" i="1"/>
  <c r="A1163" i="1"/>
  <c r="C1163" i="1"/>
  <c r="J1163" i="1"/>
  <c r="A1164" i="1"/>
  <c r="C1164" i="1"/>
  <c r="J1164" i="1"/>
  <c r="A1165" i="1"/>
  <c r="C1165" i="1"/>
  <c r="J1165" i="1"/>
  <c r="A1166" i="1"/>
  <c r="C1166" i="1"/>
  <c r="J1166" i="1"/>
  <c r="A1167" i="1"/>
  <c r="C1167" i="1"/>
  <c r="J1167" i="1"/>
  <c r="A1168" i="1"/>
  <c r="C1168" i="1"/>
  <c r="J1168" i="1"/>
  <c r="A1169" i="1"/>
  <c r="C1169" i="1"/>
  <c r="J1169" i="1"/>
  <c r="A1170" i="1"/>
  <c r="C1170" i="1"/>
  <c r="J1170" i="1"/>
  <c r="A1171" i="1"/>
  <c r="C1171" i="1"/>
  <c r="J1171" i="1"/>
  <c r="A1172" i="1"/>
  <c r="C1172" i="1"/>
  <c r="J1172" i="1"/>
  <c r="A2898" i="1"/>
  <c r="A1173" i="1"/>
  <c r="C1173" i="1"/>
  <c r="J1173" i="1"/>
  <c r="A1174" i="1"/>
  <c r="C1174" i="1"/>
  <c r="J1174" i="1"/>
  <c r="A1175" i="1"/>
  <c r="C1175" i="1"/>
  <c r="D1175" i="1"/>
  <c r="J1175" i="1"/>
  <c r="A1176" i="1"/>
  <c r="C1176" i="1"/>
  <c r="J1176" i="1"/>
  <c r="A1177" i="1"/>
  <c r="C1177" i="1"/>
  <c r="J1177" i="1"/>
  <c r="A1178" i="1"/>
  <c r="C1178" i="1"/>
  <c r="D1178" i="1"/>
  <c r="J1178" i="1"/>
  <c r="A2899" i="1"/>
  <c r="A1179" i="1"/>
  <c r="C1179" i="1"/>
  <c r="D1179" i="1"/>
  <c r="J1179" i="1"/>
  <c r="A1180" i="1"/>
  <c r="C1180" i="1"/>
  <c r="J1180" i="1"/>
  <c r="A1181" i="1"/>
  <c r="C1181" i="1"/>
  <c r="J1181" i="1"/>
  <c r="A1182" i="1"/>
  <c r="C1182" i="1"/>
  <c r="J1182" i="1"/>
  <c r="A2900" i="1"/>
  <c r="A1183" i="1"/>
  <c r="C1183" i="1"/>
  <c r="J1183" i="1"/>
  <c r="A1184" i="1"/>
  <c r="C1184" i="1"/>
  <c r="J1184" i="1"/>
  <c r="A1185" i="1"/>
  <c r="C1185" i="1"/>
  <c r="J1185" i="1"/>
  <c r="A1186" i="1"/>
  <c r="C1186" i="1"/>
  <c r="D1186" i="1"/>
  <c r="J1186" i="1"/>
  <c r="A1187" i="1"/>
  <c r="C1187" i="1"/>
  <c r="J1187" i="1"/>
  <c r="A1188" i="1"/>
  <c r="C1188" i="1"/>
  <c r="J1188" i="1"/>
  <c r="A1189" i="1"/>
  <c r="C1189" i="1"/>
  <c r="D1189" i="1"/>
  <c r="J1189" i="1"/>
  <c r="A1190" i="1"/>
  <c r="C1190" i="1"/>
  <c r="D1190" i="1"/>
  <c r="J1190" i="1"/>
  <c r="A2901" i="1"/>
  <c r="A1191" i="1"/>
  <c r="C1191" i="1"/>
  <c r="J1191" i="1"/>
  <c r="A1192" i="1"/>
  <c r="C1192" i="1"/>
  <c r="D1192" i="1"/>
  <c r="J1192" i="1"/>
  <c r="A1193" i="1"/>
  <c r="C1193" i="1"/>
  <c r="D1193" i="1"/>
  <c r="J1193" i="1"/>
  <c r="A1194" i="1"/>
  <c r="C1194" i="1"/>
  <c r="J1194" i="1"/>
  <c r="A2902" i="1"/>
  <c r="A1195" i="1"/>
  <c r="C1195" i="1"/>
  <c r="J1195" i="1"/>
  <c r="A1196" i="1"/>
  <c r="C1196" i="1"/>
  <c r="J1196" i="1"/>
  <c r="A1197" i="1"/>
  <c r="C1197" i="1"/>
  <c r="J1197" i="1"/>
  <c r="A1198" i="1"/>
  <c r="C1198" i="1"/>
  <c r="J1198" i="1"/>
  <c r="A1199" i="1"/>
  <c r="C1199" i="1"/>
  <c r="J1199" i="1"/>
  <c r="A1200" i="1"/>
  <c r="C1200" i="1"/>
  <c r="J1200" i="1"/>
  <c r="A1201" i="1"/>
  <c r="C1201" i="1"/>
  <c r="J1201" i="1"/>
  <c r="A1202" i="1"/>
  <c r="C1202" i="1"/>
  <c r="J1202" i="1"/>
  <c r="A1203" i="1"/>
  <c r="C1203" i="1"/>
  <c r="D1203" i="1"/>
  <c r="J1203" i="1"/>
  <c r="A1204" i="1"/>
  <c r="C1204" i="1"/>
  <c r="D1204" i="1"/>
  <c r="J1204" i="1"/>
  <c r="A1205" i="1"/>
  <c r="C1205" i="1"/>
  <c r="J1205" i="1"/>
  <c r="A1206" i="1"/>
  <c r="C1206" i="1"/>
  <c r="J1206" i="1"/>
  <c r="A2903" i="1"/>
  <c r="A1207" i="1"/>
  <c r="C1207" i="1"/>
  <c r="J1207" i="1"/>
  <c r="A1208" i="1"/>
  <c r="C1208" i="1"/>
  <c r="J1208" i="1"/>
  <c r="A1209" i="1"/>
  <c r="C1209" i="1"/>
  <c r="D1209" i="1"/>
  <c r="J1209" i="1"/>
  <c r="A2904" i="1"/>
  <c r="A1210" i="1"/>
  <c r="C1210" i="1"/>
  <c r="D1210" i="1"/>
  <c r="J1210" i="1"/>
  <c r="A1211" i="1"/>
  <c r="C1211" i="1"/>
  <c r="J1211" i="1"/>
  <c r="A1212" i="1"/>
  <c r="C1212" i="1"/>
  <c r="D1212" i="1"/>
  <c r="J1212" i="1"/>
  <c r="A1213" i="1"/>
  <c r="C1213" i="1"/>
  <c r="J1213" i="1"/>
  <c r="A1214" i="1"/>
  <c r="C1214" i="1"/>
  <c r="J1214" i="1"/>
  <c r="A1215" i="1"/>
  <c r="C1215" i="1"/>
  <c r="D1215" i="1"/>
  <c r="J1215" i="1"/>
  <c r="A1216" i="1"/>
  <c r="C1216" i="1"/>
  <c r="J1216" i="1"/>
  <c r="A1217" i="1"/>
  <c r="C1217" i="1"/>
  <c r="J1217" i="1"/>
  <c r="A1218" i="1"/>
  <c r="C1218" i="1"/>
  <c r="J1218" i="1"/>
  <c r="A1219" i="1"/>
  <c r="C1219" i="1"/>
  <c r="J1219" i="1"/>
  <c r="A1220" i="1"/>
  <c r="C1220" i="1"/>
  <c r="J1220" i="1"/>
  <c r="A1221" i="1"/>
  <c r="C1221" i="1"/>
  <c r="J1221" i="1"/>
  <c r="A1222" i="1"/>
  <c r="C1222" i="1"/>
  <c r="J1222" i="1"/>
  <c r="A1223" i="1"/>
  <c r="C1223" i="1"/>
  <c r="J1223" i="1"/>
  <c r="A1224" i="1"/>
  <c r="C1224" i="1"/>
  <c r="J1224" i="1"/>
  <c r="A1225" i="1"/>
  <c r="C1225" i="1"/>
  <c r="J1225" i="1"/>
  <c r="A1226" i="1"/>
  <c r="C1226" i="1"/>
  <c r="D1226" i="1"/>
  <c r="J1226" i="1"/>
  <c r="A1227" i="1"/>
  <c r="C1227" i="1"/>
  <c r="J1227" i="1"/>
  <c r="A1228" i="1"/>
  <c r="C1228" i="1"/>
  <c r="J1228" i="1"/>
  <c r="A1229" i="1"/>
  <c r="C1229" i="1"/>
  <c r="J1229" i="1"/>
  <c r="A1230" i="1"/>
  <c r="C1230" i="1"/>
  <c r="J1230" i="1"/>
  <c r="A1231" i="1"/>
  <c r="C1231" i="1"/>
  <c r="J1231" i="1"/>
  <c r="A2905" i="1"/>
  <c r="A1232" i="1"/>
  <c r="C1232" i="1"/>
  <c r="J1232" i="1"/>
  <c r="A1233" i="1"/>
  <c r="C1233" i="1"/>
  <c r="J1233" i="1"/>
  <c r="A2906" i="1"/>
  <c r="A2907" i="1"/>
  <c r="A1234" i="1"/>
  <c r="C1234" i="1"/>
  <c r="J1234" i="1"/>
  <c r="A1235" i="1"/>
  <c r="C1235" i="1"/>
  <c r="J1235" i="1"/>
  <c r="A1236" i="1"/>
  <c r="C1236" i="1"/>
  <c r="J1236" i="1"/>
  <c r="A1237" i="1"/>
  <c r="C1237" i="1"/>
  <c r="D1237" i="1"/>
  <c r="J1237" i="1"/>
  <c r="A1238" i="1"/>
  <c r="C1238" i="1"/>
  <c r="D1238" i="1"/>
  <c r="J1238" i="1"/>
  <c r="A1239" i="1"/>
  <c r="C1239" i="1"/>
  <c r="D1239" i="1"/>
  <c r="J1239" i="1"/>
  <c r="A1240" i="1"/>
  <c r="C1240" i="1"/>
  <c r="J1240" i="1"/>
  <c r="A1241" i="1"/>
  <c r="C1241" i="1"/>
  <c r="J1241" i="1"/>
  <c r="A1242" i="1"/>
  <c r="C1242" i="1"/>
  <c r="J1242" i="1"/>
  <c r="A1243" i="1"/>
  <c r="C1243" i="1"/>
  <c r="J1243" i="1"/>
  <c r="A1244" i="1"/>
  <c r="C1244" i="1"/>
  <c r="J1244" i="1"/>
  <c r="A1245" i="1"/>
  <c r="C1245" i="1"/>
  <c r="J1245" i="1"/>
  <c r="A2908" i="1"/>
  <c r="A1246" i="1"/>
  <c r="C1246" i="1"/>
  <c r="J1246" i="1"/>
  <c r="A1247" i="1"/>
  <c r="C1247" i="1"/>
  <c r="J1247" i="1"/>
  <c r="A1248" i="1"/>
  <c r="C1248" i="1"/>
  <c r="J1248" i="1"/>
  <c r="A1249" i="1"/>
  <c r="C1249" i="1"/>
  <c r="D1249" i="1"/>
  <c r="J1249" i="1"/>
  <c r="A1250" i="1"/>
  <c r="C1250" i="1"/>
  <c r="J1250" i="1"/>
  <c r="A1251" i="1"/>
  <c r="C1251" i="1"/>
  <c r="J1251" i="1"/>
  <c r="A1252" i="1"/>
  <c r="C1252" i="1"/>
  <c r="J1252" i="1"/>
  <c r="A1253" i="1"/>
  <c r="C1253" i="1"/>
  <c r="D1253" i="1"/>
  <c r="J1253" i="1"/>
  <c r="A1254" i="1"/>
  <c r="C1254" i="1"/>
  <c r="J1254" i="1"/>
  <c r="A1255" i="1"/>
  <c r="C1255" i="1"/>
  <c r="J1255" i="1"/>
  <c r="A1256" i="1"/>
  <c r="C1256" i="1"/>
  <c r="J1256" i="1"/>
  <c r="A2909" i="1"/>
  <c r="A1257" i="1"/>
  <c r="C1257" i="1"/>
  <c r="D1257" i="1"/>
  <c r="J1257" i="1"/>
  <c r="A1258" i="1"/>
  <c r="C1258" i="1"/>
  <c r="J1258" i="1"/>
  <c r="A1259" i="1"/>
  <c r="C1259" i="1"/>
  <c r="D1259" i="1"/>
  <c r="J1259" i="1"/>
  <c r="A1260" i="1"/>
  <c r="C1260" i="1"/>
  <c r="J1260" i="1"/>
  <c r="A1261" i="1"/>
  <c r="C1261" i="1"/>
  <c r="J1261" i="1"/>
  <c r="A1262" i="1"/>
  <c r="C1262" i="1"/>
  <c r="J1262" i="1"/>
  <c r="A1263" i="1"/>
  <c r="C1263" i="1"/>
  <c r="D1263" i="1"/>
  <c r="J1263" i="1"/>
  <c r="A1264" i="1"/>
  <c r="C1264" i="1"/>
  <c r="J1264" i="1"/>
  <c r="A1265" i="1"/>
  <c r="C1265" i="1"/>
  <c r="J1265" i="1"/>
  <c r="A1266" i="1"/>
  <c r="C1266" i="1"/>
  <c r="D1266" i="1"/>
  <c r="J1266" i="1"/>
  <c r="A2910" i="1"/>
  <c r="A1267" i="1"/>
  <c r="C1267" i="1"/>
  <c r="D1267" i="1"/>
  <c r="J1267" i="1"/>
  <c r="A1268" i="1"/>
  <c r="C1268" i="1"/>
  <c r="J1268" i="1"/>
  <c r="A1269" i="1"/>
  <c r="C1269" i="1"/>
  <c r="J1269" i="1"/>
  <c r="A2911" i="1"/>
  <c r="A1270" i="1"/>
  <c r="C1270" i="1"/>
  <c r="J1270" i="1"/>
  <c r="A1271" i="1"/>
  <c r="C1271" i="1"/>
  <c r="J1271" i="1"/>
  <c r="A1272" i="1"/>
  <c r="C1272" i="1"/>
  <c r="J1272" i="1"/>
  <c r="A1273" i="1"/>
  <c r="C1273" i="1"/>
  <c r="J1273" i="1"/>
  <c r="A1274" i="1"/>
  <c r="C1274" i="1"/>
  <c r="J1274" i="1"/>
  <c r="A1275" i="1"/>
  <c r="C1275" i="1"/>
  <c r="D1275" i="1"/>
  <c r="J1275" i="1"/>
  <c r="A1276" i="1"/>
  <c r="C1276" i="1"/>
  <c r="D1276" i="1"/>
  <c r="J1276" i="1"/>
  <c r="A1277" i="1"/>
  <c r="C1277" i="1"/>
  <c r="J1277" i="1"/>
  <c r="A1278" i="1"/>
  <c r="C1278" i="1"/>
  <c r="J1278" i="1"/>
  <c r="A1279" i="1"/>
  <c r="C1279" i="1"/>
  <c r="J1279" i="1"/>
  <c r="A1280" i="1"/>
  <c r="C1280" i="1"/>
  <c r="J1280" i="1"/>
  <c r="A1281" i="1"/>
  <c r="C1281" i="1"/>
  <c r="J1281" i="1"/>
  <c r="A2912" i="1"/>
  <c r="A1282" i="1"/>
  <c r="C1282" i="1"/>
  <c r="J1282" i="1"/>
  <c r="A1283" i="1"/>
  <c r="C1283" i="1"/>
  <c r="J1283" i="1"/>
  <c r="A2913" i="1"/>
  <c r="A1284" i="1"/>
  <c r="C1284" i="1"/>
  <c r="J1284" i="1"/>
  <c r="A1285" i="1"/>
  <c r="C1285" i="1"/>
  <c r="J1285" i="1"/>
  <c r="A2914" i="1"/>
  <c r="A1286" i="1"/>
  <c r="C1286" i="1"/>
  <c r="D1286" i="1"/>
  <c r="J1286" i="1"/>
  <c r="A1287" i="1"/>
  <c r="C1287" i="1"/>
  <c r="J1287" i="1"/>
  <c r="A1288" i="1"/>
  <c r="C1288" i="1"/>
  <c r="J1288" i="1"/>
  <c r="A1289" i="1"/>
  <c r="C1289" i="1"/>
  <c r="J1289" i="1"/>
  <c r="A1290" i="1"/>
  <c r="C1290" i="1"/>
  <c r="J1290" i="1"/>
  <c r="A1291" i="1"/>
  <c r="C1291" i="1"/>
  <c r="J1291" i="1"/>
  <c r="A1292" i="1"/>
  <c r="C1292" i="1"/>
  <c r="J1292" i="1"/>
  <c r="A1293" i="1"/>
  <c r="C1293" i="1"/>
  <c r="J1293" i="1"/>
  <c r="A1294" i="1"/>
  <c r="C1294" i="1"/>
  <c r="J1294" i="1"/>
  <c r="A1295" i="1"/>
  <c r="C1295" i="1"/>
  <c r="J1295" i="1"/>
  <c r="A1296" i="1"/>
  <c r="C1296" i="1"/>
  <c r="J1296" i="1"/>
  <c r="A1297" i="1"/>
  <c r="C1297" i="1"/>
  <c r="J1297" i="1"/>
  <c r="A1298" i="1"/>
  <c r="C1298" i="1"/>
  <c r="J1298" i="1"/>
  <c r="A1299" i="1"/>
  <c r="C1299" i="1"/>
  <c r="J1299" i="1"/>
  <c r="A1300" i="1"/>
  <c r="C1300" i="1"/>
  <c r="J1300" i="1"/>
  <c r="A1301" i="1"/>
  <c r="C1301" i="1"/>
  <c r="J1301" i="1"/>
  <c r="A1302" i="1"/>
  <c r="C1302" i="1"/>
  <c r="D1302" i="1"/>
  <c r="J1302" i="1"/>
  <c r="A1303" i="1"/>
  <c r="C1303" i="1"/>
  <c r="J1303" i="1"/>
  <c r="A2915" i="1"/>
  <c r="A1304" i="1"/>
  <c r="C1304" i="1"/>
  <c r="J1304" i="1"/>
  <c r="A1305" i="1"/>
  <c r="C1305" i="1"/>
  <c r="J1305" i="1"/>
  <c r="A1306" i="1"/>
  <c r="C1306" i="1"/>
  <c r="J1306" i="1"/>
  <c r="A1307" i="1"/>
  <c r="C1307" i="1"/>
  <c r="J1307" i="1"/>
  <c r="A1308" i="1"/>
  <c r="C1308" i="1"/>
  <c r="D1308" i="1"/>
  <c r="J1308" i="1"/>
  <c r="A1309" i="1"/>
  <c r="C1309" i="1"/>
  <c r="D1309" i="1"/>
  <c r="J1309" i="1"/>
  <c r="A1310" i="1"/>
  <c r="C1310" i="1"/>
  <c r="J1310" i="1"/>
  <c r="A1311" i="1"/>
  <c r="C1311" i="1"/>
  <c r="J1311" i="1"/>
  <c r="A2916" i="1"/>
  <c r="A1312" i="1"/>
  <c r="C1312" i="1"/>
  <c r="J1312" i="1"/>
  <c r="A1313" i="1"/>
  <c r="C1313" i="1"/>
  <c r="J1313" i="1"/>
  <c r="A1314" i="1"/>
  <c r="C1314" i="1"/>
  <c r="D1314" i="1"/>
  <c r="J1314" i="1"/>
  <c r="A1315" i="1"/>
  <c r="C1315" i="1"/>
  <c r="J1315" i="1"/>
  <c r="A1316" i="1"/>
  <c r="C1316" i="1"/>
  <c r="D1316" i="1"/>
  <c r="J1316" i="1"/>
  <c r="A1317" i="1"/>
  <c r="C1317" i="1"/>
  <c r="J1317" i="1"/>
  <c r="A1318" i="1"/>
  <c r="C1318" i="1"/>
  <c r="J1318" i="1"/>
  <c r="A2917" i="1"/>
  <c r="A1319" i="1"/>
  <c r="C1319" i="1"/>
  <c r="J1319" i="1"/>
  <c r="A1320" i="1"/>
  <c r="C1320" i="1"/>
  <c r="D1320" i="1"/>
  <c r="J1320" i="1"/>
  <c r="A1321" i="1"/>
  <c r="C1321" i="1"/>
  <c r="J1321" i="1"/>
  <c r="A1322" i="1"/>
  <c r="C1322" i="1"/>
  <c r="D1322" i="1"/>
  <c r="J1322" i="1"/>
  <c r="A1323" i="1"/>
  <c r="C1323" i="1"/>
  <c r="D1323" i="1"/>
  <c r="J1323" i="1"/>
  <c r="A1324" i="1"/>
  <c r="C1324" i="1"/>
  <c r="J1324" i="1"/>
  <c r="A1325" i="1"/>
  <c r="C1325" i="1"/>
  <c r="J1325" i="1"/>
  <c r="A1326" i="1"/>
  <c r="C1326" i="1"/>
  <c r="J1326" i="1"/>
  <c r="A1327" i="1"/>
  <c r="C1327" i="1"/>
  <c r="J1327" i="1"/>
  <c r="A1328" i="1"/>
  <c r="C1328" i="1"/>
  <c r="D1328" i="1"/>
  <c r="J1328" i="1"/>
  <c r="A1329" i="1"/>
  <c r="C1329" i="1"/>
  <c r="J1329" i="1"/>
  <c r="A1330" i="1"/>
  <c r="C1330" i="1"/>
  <c r="J1330" i="1"/>
  <c r="A1331" i="1"/>
  <c r="C1331" i="1"/>
  <c r="J1331" i="1"/>
  <c r="A2918" i="1"/>
  <c r="A1332" i="1"/>
  <c r="C1332" i="1"/>
  <c r="J1332" i="1"/>
  <c r="A2919" i="1"/>
  <c r="A1333" i="1"/>
  <c r="C1333" i="1"/>
  <c r="J1333" i="1"/>
  <c r="A1334" i="1"/>
  <c r="C1334" i="1"/>
  <c r="D1334" i="1"/>
  <c r="J1334" i="1"/>
  <c r="A1335" i="1"/>
  <c r="C1335" i="1"/>
  <c r="D1335" i="1"/>
  <c r="J1335" i="1"/>
  <c r="A1336" i="1"/>
  <c r="C1336" i="1"/>
  <c r="D1336" i="1"/>
  <c r="J1336" i="1"/>
  <c r="A1337" i="1"/>
  <c r="C1337" i="1"/>
  <c r="D1337" i="1"/>
  <c r="J1337" i="1"/>
  <c r="A1338" i="1"/>
  <c r="C1338" i="1"/>
  <c r="J1338" i="1"/>
  <c r="A1339" i="1"/>
  <c r="C1339" i="1"/>
  <c r="J1339" i="1"/>
  <c r="A1340" i="1"/>
  <c r="C1340" i="1"/>
  <c r="J1340" i="1"/>
  <c r="A1341" i="1"/>
  <c r="C1341" i="1"/>
  <c r="J1341" i="1"/>
  <c r="A1342" i="1"/>
  <c r="C1342" i="1"/>
  <c r="J1342" i="1"/>
  <c r="A1343" i="1"/>
  <c r="C1343" i="1"/>
  <c r="J1343" i="1"/>
  <c r="A1344" i="1"/>
  <c r="C1344" i="1"/>
  <c r="D1344" i="1"/>
  <c r="J1344" i="1"/>
  <c r="A3145" i="1"/>
  <c r="A1345" i="1"/>
  <c r="C1345" i="1"/>
  <c r="J1345" i="1"/>
  <c r="A1346" i="1"/>
  <c r="C1346" i="1"/>
  <c r="J1346" i="1"/>
  <c r="A1347" i="1"/>
  <c r="C1347" i="1"/>
  <c r="D1347" i="1"/>
  <c r="J1347" i="1"/>
  <c r="A1348" i="1"/>
  <c r="C1348" i="1"/>
  <c r="D1348" i="1"/>
  <c r="J1348" i="1"/>
  <c r="A1349" i="1"/>
  <c r="C1349" i="1"/>
  <c r="J1349" i="1"/>
  <c r="A1350" i="1"/>
  <c r="C1350" i="1"/>
  <c r="D1350" i="1"/>
  <c r="J1350" i="1"/>
  <c r="A1351" i="1"/>
  <c r="C1351" i="1"/>
  <c r="J1351" i="1"/>
  <c r="A1352" i="1"/>
  <c r="C1352" i="1"/>
  <c r="J1352" i="1"/>
  <c r="A2920" i="1"/>
  <c r="A1353" i="1"/>
  <c r="C1353" i="1"/>
  <c r="J1353" i="1"/>
  <c r="A1354" i="1"/>
  <c r="C1354" i="1"/>
  <c r="J1354" i="1"/>
  <c r="A1355" i="1"/>
  <c r="C1355" i="1"/>
  <c r="D1355" i="1"/>
  <c r="J1355" i="1"/>
  <c r="A1356" i="1"/>
  <c r="C1356" i="1"/>
  <c r="D1356" i="1"/>
  <c r="J1356" i="1"/>
  <c r="A1357" i="1"/>
  <c r="C1357" i="1"/>
  <c r="D1357" i="1"/>
  <c r="J1357" i="1"/>
  <c r="A1358" i="1"/>
  <c r="C1358" i="1"/>
  <c r="D1358" i="1"/>
  <c r="J1358" i="1"/>
  <c r="A1359" i="1"/>
  <c r="C1359" i="1"/>
  <c r="J1359" i="1"/>
  <c r="A1360" i="1"/>
  <c r="C1360" i="1"/>
  <c r="J1360" i="1"/>
  <c r="A1361" i="1"/>
  <c r="C1361" i="1"/>
  <c r="D1361" i="1"/>
  <c r="J1361" i="1"/>
  <c r="A1362" i="1"/>
  <c r="C1362" i="1"/>
  <c r="J1362" i="1"/>
  <c r="A1363" i="1"/>
  <c r="C1363" i="1"/>
  <c r="J1363" i="1"/>
  <c r="A1364" i="1"/>
  <c r="C1364" i="1"/>
  <c r="J1364" i="1"/>
  <c r="A1365" i="1"/>
  <c r="C1365" i="1"/>
  <c r="J1365" i="1"/>
  <c r="A1366" i="1"/>
  <c r="C1366" i="1"/>
  <c r="J1366" i="1"/>
  <c r="A1367" i="1"/>
  <c r="C1367" i="1"/>
  <c r="J1367" i="1"/>
  <c r="A1368" i="1"/>
  <c r="C1368" i="1"/>
  <c r="J1368" i="1"/>
  <c r="A2921" i="1"/>
  <c r="A1369" i="1"/>
  <c r="C1369" i="1"/>
  <c r="J1369" i="1"/>
  <c r="A1370" i="1"/>
  <c r="C1370" i="1"/>
  <c r="D1370" i="1"/>
  <c r="J1370" i="1"/>
  <c r="A1371" i="1"/>
  <c r="C1371" i="1"/>
  <c r="J1371" i="1"/>
  <c r="A1372" i="1"/>
  <c r="C1372" i="1"/>
  <c r="J1372" i="1"/>
  <c r="A1373" i="1"/>
  <c r="C1373" i="1"/>
  <c r="D1373" i="1"/>
  <c r="J1373" i="1"/>
  <c r="A1374" i="1"/>
  <c r="C1374" i="1"/>
  <c r="J1374" i="1"/>
  <c r="A1375" i="1"/>
  <c r="C1375" i="1"/>
  <c r="J1375" i="1"/>
  <c r="A2922" i="1"/>
  <c r="A3146" i="1"/>
  <c r="A1376" i="1"/>
  <c r="C1376" i="1"/>
  <c r="D1376" i="1"/>
  <c r="J1376" i="1"/>
  <c r="A1377" i="1"/>
  <c r="C1377" i="1"/>
  <c r="J1377" i="1"/>
  <c r="A1378" i="1"/>
  <c r="C1378" i="1"/>
  <c r="D1378" i="1"/>
  <c r="J1378" i="1"/>
  <c r="A1379" i="1"/>
  <c r="C1379" i="1"/>
  <c r="J1379" i="1"/>
  <c r="A1380" i="1"/>
  <c r="C1380" i="1"/>
  <c r="D1380" i="1"/>
  <c r="J1380" i="1"/>
  <c r="A2923" i="1"/>
  <c r="A1381" i="1"/>
  <c r="C1381" i="1"/>
  <c r="J1381" i="1"/>
  <c r="A1382" i="1"/>
  <c r="C1382" i="1"/>
  <c r="J1382" i="1"/>
  <c r="A1383" i="1"/>
  <c r="C1383" i="1"/>
  <c r="J1383" i="1"/>
  <c r="A1384" i="1"/>
  <c r="C1384" i="1"/>
  <c r="D1384" i="1"/>
  <c r="J1384" i="1"/>
  <c r="A1385" i="1"/>
  <c r="C1385" i="1"/>
  <c r="D1385" i="1"/>
  <c r="J1385" i="1"/>
  <c r="A1386" i="1"/>
  <c r="C1386" i="1"/>
  <c r="J1386" i="1"/>
  <c r="A1387" i="1"/>
  <c r="C1387" i="1"/>
  <c r="D1387" i="1"/>
  <c r="J1387" i="1"/>
  <c r="A1388" i="1"/>
  <c r="C1388" i="1"/>
  <c r="J1388" i="1"/>
  <c r="A1389" i="1"/>
  <c r="C1389" i="1"/>
  <c r="D1389" i="1"/>
  <c r="J1389" i="1"/>
  <c r="A1390" i="1"/>
  <c r="C1390" i="1"/>
  <c r="J1390" i="1"/>
  <c r="A1391" i="1"/>
  <c r="C1391" i="1"/>
  <c r="J1391" i="1"/>
  <c r="A1392" i="1"/>
  <c r="C1392" i="1"/>
  <c r="J1392" i="1"/>
  <c r="A2924" i="1"/>
  <c r="A1393" i="1"/>
  <c r="C1393" i="1"/>
  <c r="J1393" i="1"/>
  <c r="A2925" i="1"/>
  <c r="A1394" i="1"/>
  <c r="C1394" i="1"/>
  <c r="J1394" i="1"/>
  <c r="A1395" i="1"/>
  <c r="C1395" i="1"/>
  <c r="D1395" i="1"/>
  <c r="J1395" i="1"/>
  <c r="A1396" i="1"/>
  <c r="C1396" i="1"/>
  <c r="J1396" i="1"/>
  <c r="A1397" i="1"/>
  <c r="C1397" i="1"/>
  <c r="J1397" i="1"/>
  <c r="A1398" i="1"/>
  <c r="C1398" i="1"/>
  <c r="D1398" i="1"/>
  <c r="J1398" i="1"/>
  <c r="A1399" i="1"/>
  <c r="C1399" i="1"/>
  <c r="J1399" i="1"/>
  <c r="A1400" i="1"/>
  <c r="C1400" i="1"/>
  <c r="J1400" i="1"/>
  <c r="A1401" i="1"/>
  <c r="C1401" i="1"/>
  <c r="J1401" i="1"/>
  <c r="A1402" i="1"/>
  <c r="C1402" i="1"/>
  <c r="J1402" i="1"/>
  <c r="A1403" i="1"/>
  <c r="C1403" i="1"/>
  <c r="D1403" i="1"/>
  <c r="J1403" i="1"/>
  <c r="A2926" i="1"/>
  <c r="A1404" i="1"/>
  <c r="C1404" i="1"/>
  <c r="D1404" i="1"/>
  <c r="J1404" i="1"/>
  <c r="A1405" i="1"/>
  <c r="C1405" i="1"/>
  <c r="J1405" i="1"/>
  <c r="A1406" i="1"/>
  <c r="C1406" i="1"/>
  <c r="J1406" i="1"/>
  <c r="A1407" i="1"/>
  <c r="C1407" i="1"/>
  <c r="J1407" i="1"/>
  <c r="A1408" i="1"/>
  <c r="C1408" i="1"/>
  <c r="D1408" i="1"/>
  <c r="J1408" i="1"/>
  <c r="A1409" i="1"/>
  <c r="C1409" i="1"/>
  <c r="J1409" i="1"/>
  <c r="A1410" i="1"/>
  <c r="C1410" i="1"/>
  <c r="J1410" i="1"/>
  <c r="A1411" i="1"/>
  <c r="C1411" i="1"/>
  <c r="J1411" i="1"/>
  <c r="A1412" i="1"/>
  <c r="C1412" i="1"/>
  <c r="J1412" i="1"/>
  <c r="A1413" i="1"/>
  <c r="C1413" i="1"/>
  <c r="D1413" i="1"/>
  <c r="J1413" i="1"/>
  <c r="A1414" i="1"/>
  <c r="C1414" i="1"/>
  <c r="D1414" i="1"/>
  <c r="J1414" i="1"/>
  <c r="A1415" i="1"/>
  <c r="C1415" i="1"/>
  <c r="J1415" i="1"/>
  <c r="A1416" i="1"/>
  <c r="C1416" i="1"/>
  <c r="J1416" i="1"/>
  <c r="A1417" i="1"/>
  <c r="C1417" i="1"/>
  <c r="J1417" i="1"/>
  <c r="A1418" i="1"/>
  <c r="C1418" i="1"/>
  <c r="J1418" i="1"/>
  <c r="A1419" i="1"/>
  <c r="C1419" i="1"/>
  <c r="D1419" i="1"/>
  <c r="J1419" i="1"/>
  <c r="A1420" i="1"/>
  <c r="C1420" i="1"/>
  <c r="J1420" i="1"/>
  <c r="A1421" i="1"/>
  <c r="C1421" i="1"/>
  <c r="D1421" i="1"/>
  <c r="J1421" i="1"/>
  <c r="A1422" i="1"/>
  <c r="C1422" i="1"/>
  <c r="J1422" i="1"/>
  <c r="A1423" i="1"/>
  <c r="C1423" i="1"/>
  <c r="J1423" i="1"/>
  <c r="A1424" i="1"/>
  <c r="C1424" i="1"/>
  <c r="J1424" i="1"/>
  <c r="A1425" i="1"/>
  <c r="C1425" i="1"/>
  <c r="J1425" i="1"/>
  <c r="A1426" i="1"/>
  <c r="C1426" i="1"/>
  <c r="J1426" i="1"/>
  <c r="A1427" i="1"/>
  <c r="C1427" i="1"/>
  <c r="D1427" i="1"/>
  <c r="J1427" i="1"/>
  <c r="A2927" i="1"/>
  <c r="A1428" i="1"/>
  <c r="C1428" i="1"/>
  <c r="J1428" i="1"/>
  <c r="A1429" i="1"/>
  <c r="C1429" i="1"/>
  <c r="J1429" i="1"/>
  <c r="A1430" i="1"/>
  <c r="C1430" i="1"/>
  <c r="D1430" i="1"/>
  <c r="J1430" i="1"/>
  <c r="A1431" i="1"/>
  <c r="C1431" i="1"/>
  <c r="J1431" i="1"/>
  <c r="A1432" i="1"/>
  <c r="C1432" i="1"/>
  <c r="J1432" i="1"/>
  <c r="A1433" i="1"/>
  <c r="C1433" i="1"/>
  <c r="J1433" i="1"/>
  <c r="A1434" i="1"/>
  <c r="C1434" i="1"/>
  <c r="D1434" i="1"/>
  <c r="J1434" i="1"/>
  <c r="A1435" i="1"/>
  <c r="C1435" i="1"/>
  <c r="D1435" i="1"/>
  <c r="J1435" i="1"/>
  <c r="A1436" i="1"/>
  <c r="C1436" i="1"/>
  <c r="J1436" i="1"/>
  <c r="A2928" i="1"/>
  <c r="A1437" i="1"/>
  <c r="C1437" i="1"/>
  <c r="J1437" i="1"/>
  <c r="A1438" i="1"/>
  <c r="C1438" i="1"/>
  <c r="D1438" i="1"/>
  <c r="J1438" i="1"/>
  <c r="A1439" i="1"/>
  <c r="C1439" i="1"/>
  <c r="D1439" i="1"/>
  <c r="J1439" i="1"/>
  <c r="A1440" i="1"/>
  <c r="C1440" i="1"/>
  <c r="J1440" i="1"/>
  <c r="A1441" i="1"/>
  <c r="C1441" i="1"/>
  <c r="J1441" i="1"/>
  <c r="A1442" i="1"/>
  <c r="C1442" i="1"/>
  <c r="D1442" i="1"/>
  <c r="J1442" i="1"/>
  <c r="A1443" i="1"/>
  <c r="C1443" i="1"/>
  <c r="J1443" i="1"/>
  <c r="A1444" i="1"/>
  <c r="C1444" i="1"/>
  <c r="J1444" i="1"/>
  <c r="A2929" i="1"/>
  <c r="A1445" i="1"/>
  <c r="C1445" i="1"/>
  <c r="J1445" i="1"/>
  <c r="A1446" i="1"/>
  <c r="C1446" i="1"/>
  <c r="J1446" i="1"/>
  <c r="A1447" i="1"/>
  <c r="C1447" i="1"/>
  <c r="J1447" i="1"/>
  <c r="A1448" i="1"/>
  <c r="C1448" i="1"/>
  <c r="D1448" i="1"/>
  <c r="J1448" i="1"/>
  <c r="A1449" i="1"/>
  <c r="C1449" i="1"/>
  <c r="J1449" i="1"/>
  <c r="A1450" i="1"/>
  <c r="C1450" i="1"/>
  <c r="J1450" i="1"/>
  <c r="A1451" i="1"/>
  <c r="C1451" i="1"/>
  <c r="J1451" i="1"/>
  <c r="A1452" i="1"/>
  <c r="C1452" i="1"/>
  <c r="J1452" i="1"/>
  <c r="A1453" i="1"/>
  <c r="C1453" i="1"/>
  <c r="J1453" i="1"/>
  <c r="A2930" i="1"/>
  <c r="A1454" i="1"/>
  <c r="C1454" i="1"/>
  <c r="J1454" i="1"/>
  <c r="A2931" i="1"/>
  <c r="A1455" i="1"/>
  <c r="C1455" i="1"/>
  <c r="J1455" i="1"/>
  <c r="A2932" i="1"/>
  <c r="A1456" i="1"/>
  <c r="C1456" i="1"/>
  <c r="J1456" i="1"/>
  <c r="A2933" i="1"/>
  <c r="A1457" i="1"/>
  <c r="C1457" i="1"/>
  <c r="J1457" i="1"/>
  <c r="A1458" i="1"/>
  <c r="C1458" i="1"/>
  <c r="J1458" i="1"/>
  <c r="A1459" i="1"/>
  <c r="C1459" i="1"/>
  <c r="J1459" i="1"/>
  <c r="A1460" i="1"/>
  <c r="C1460" i="1"/>
  <c r="J1460" i="1"/>
  <c r="A1461" i="1"/>
  <c r="C1461" i="1"/>
  <c r="J1461" i="1"/>
  <c r="A1462" i="1"/>
  <c r="C1462" i="1"/>
  <c r="J1462" i="1"/>
  <c r="A2934" i="1"/>
  <c r="A1463" i="1"/>
  <c r="C1463" i="1"/>
  <c r="D1463" i="1"/>
  <c r="J1463" i="1"/>
  <c r="A1464" i="1"/>
  <c r="C1464" i="1"/>
  <c r="D1464" i="1"/>
  <c r="J1464" i="1"/>
  <c r="A1465" i="1"/>
  <c r="C1465" i="1"/>
  <c r="D1465" i="1"/>
  <c r="J1465" i="1"/>
  <c r="A1466" i="1"/>
  <c r="C1466" i="1"/>
  <c r="J1466" i="1"/>
  <c r="A1467" i="1"/>
  <c r="C1467" i="1"/>
  <c r="J1467" i="1"/>
  <c r="A1468" i="1"/>
  <c r="C1468" i="1"/>
  <c r="J1468" i="1"/>
  <c r="A1469" i="1"/>
  <c r="C1469" i="1"/>
  <c r="J1469" i="1"/>
  <c r="A1470" i="1"/>
  <c r="C1470" i="1"/>
  <c r="J1470" i="1"/>
  <c r="A1471" i="1"/>
  <c r="C1471" i="1"/>
  <c r="J1471" i="1"/>
  <c r="A1472" i="1"/>
  <c r="C1472" i="1"/>
  <c r="D1472" i="1"/>
  <c r="J1472" i="1"/>
  <c r="A2935" i="1"/>
  <c r="A2936" i="1"/>
  <c r="A1473" i="1"/>
  <c r="C1473" i="1"/>
  <c r="D1473" i="1"/>
  <c r="J1473" i="1"/>
  <c r="A1474" i="1"/>
  <c r="C1474" i="1"/>
  <c r="D1474" i="1"/>
  <c r="J1474" i="1"/>
  <c r="A1475" i="1"/>
  <c r="C1475" i="1"/>
  <c r="J1475" i="1"/>
  <c r="A1476" i="1"/>
  <c r="C1476" i="1"/>
  <c r="D1476" i="1"/>
  <c r="J1476" i="1"/>
  <c r="A1477" i="1"/>
  <c r="C1477" i="1"/>
  <c r="J1477" i="1"/>
  <c r="A1478" i="1"/>
  <c r="C1478" i="1"/>
  <c r="D1478" i="1"/>
  <c r="J1478" i="1"/>
  <c r="A1479" i="1"/>
  <c r="C1479" i="1"/>
  <c r="J1479" i="1"/>
  <c r="A2937" i="1"/>
  <c r="A1480" i="1"/>
  <c r="C1480" i="1"/>
  <c r="J1480" i="1"/>
  <c r="A1481" i="1"/>
  <c r="C1481" i="1"/>
  <c r="D1481" i="1"/>
  <c r="J1481" i="1"/>
  <c r="A1482" i="1"/>
  <c r="C1482" i="1"/>
  <c r="J1482" i="1"/>
  <c r="A1483" i="1"/>
  <c r="C1483" i="1"/>
  <c r="D1483" i="1"/>
  <c r="J1483" i="1"/>
  <c r="A1484" i="1"/>
  <c r="C1484" i="1"/>
  <c r="D1484" i="1"/>
  <c r="J1484" i="1"/>
  <c r="A1485" i="1"/>
  <c r="C1485" i="1"/>
  <c r="D1485" i="1"/>
  <c r="J1485" i="1"/>
  <c r="A1486" i="1"/>
  <c r="C1486" i="1"/>
  <c r="D1486" i="1"/>
  <c r="J1486" i="1"/>
  <c r="A2938" i="1"/>
  <c r="A1487" i="1"/>
  <c r="C1487" i="1"/>
  <c r="D1487" i="1"/>
  <c r="J1487" i="1"/>
  <c r="A2939" i="1"/>
  <c r="A2940" i="1"/>
  <c r="A1488" i="1"/>
  <c r="C1488" i="1"/>
  <c r="D1488" i="1"/>
  <c r="J1488" i="1"/>
  <c r="A2941" i="1"/>
  <c r="A1489" i="1"/>
  <c r="C1489" i="1"/>
  <c r="D1489" i="1"/>
  <c r="J1489" i="1"/>
  <c r="A1490" i="1"/>
  <c r="C1490" i="1"/>
  <c r="J1490" i="1"/>
  <c r="A1491" i="1"/>
  <c r="C1491" i="1"/>
  <c r="D1491" i="1"/>
  <c r="J1491" i="1"/>
  <c r="A1492" i="1"/>
  <c r="C1492" i="1"/>
  <c r="J1492" i="1"/>
  <c r="A1493" i="1"/>
  <c r="C1493" i="1"/>
  <c r="J1493" i="1"/>
  <c r="A2942" i="1"/>
  <c r="A1494" i="1"/>
  <c r="C1494" i="1"/>
  <c r="J1494" i="1"/>
  <c r="A1495" i="1"/>
  <c r="C1495" i="1"/>
  <c r="D1495" i="1"/>
  <c r="J1495" i="1"/>
  <c r="A1496" i="1"/>
  <c r="C1496" i="1"/>
  <c r="J1496" i="1"/>
  <c r="A1497" i="1"/>
  <c r="C1497" i="1"/>
  <c r="J1497" i="1"/>
  <c r="A1498" i="1"/>
  <c r="C1498" i="1"/>
  <c r="D1498" i="1"/>
  <c r="J1498" i="1"/>
  <c r="A1499" i="1"/>
  <c r="C1499" i="1"/>
  <c r="J1499" i="1"/>
  <c r="A1500" i="1"/>
  <c r="C1500" i="1"/>
  <c r="J1500" i="1"/>
  <c r="A1501" i="1"/>
  <c r="C1501" i="1"/>
  <c r="D1501" i="1"/>
  <c r="J1501" i="1"/>
  <c r="A1502" i="1"/>
  <c r="C1502" i="1"/>
  <c r="J1502" i="1"/>
  <c r="A1503" i="1"/>
  <c r="C1503" i="1"/>
  <c r="J1503" i="1"/>
  <c r="A1504" i="1"/>
  <c r="C1504" i="1"/>
  <c r="D1504" i="1"/>
  <c r="J1504" i="1"/>
  <c r="A1505" i="1"/>
  <c r="C1505" i="1"/>
  <c r="J1505" i="1"/>
  <c r="A1506" i="1"/>
  <c r="C1506" i="1"/>
  <c r="J1506" i="1"/>
  <c r="A1507" i="1"/>
  <c r="C1507" i="1"/>
  <c r="J1507" i="1"/>
  <c r="A1508" i="1"/>
  <c r="C1508" i="1"/>
  <c r="D1508" i="1"/>
  <c r="J1508" i="1"/>
  <c r="A1509" i="1"/>
  <c r="C1509" i="1"/>
  <c r="J1509" i="1"/>
  <c r="A1510" i="1"/>
  <c r="C1510" i="1"/>
  <c r="J1510" i="1"/>
  <c r="A1511" i="1"/>
  <c r="C1511" i="1"/>
  <c r="J1511" i="1"/>
  <c r="A1512" i="1"/>
  <c r="C1512" i="1"/>
  <c r="J1512" i="1"/>
  <c r="A1513" i="1"/>
  <c r="C1513" i="1"/>
  <c r="J1513" i="1"/>
  <c r="A1514" i="1"/>
  <c r="C1514" i="1"/>
  <c r="J1514" i="1"/>
  <c r="A1515" i="1"/>
  <c r="C1515" i="1"/>
  <c r="J1515" i="1"/>
  <c r="A1516" i="1"/>
  <c r="C1516" i="1"/>
  <c r="J1516" i="1"/>
  <c r="A1517" i="1"/>
  <c r="C1517" i="1"/>
  <c r="J1517" i="1"/>
  <c r="A1518" i="1"/>
  <c r="C1518" i="1"/>
  <c r="D1518" i="1"/>
  <c r="J1518" i="1"/>
  <c r="A2943" i="1"/>
  <c r="A1519" i="1"/>
  <c r="C1519" i="1"/>
  <c r="D1519" i="1"/>
  <c r="J1519" i="1"/>
  <c r="A1520" i="1"/>
  <c r="C1520" i="1"/>
  <c r="J1520" i="1"/>
  <c r="A1521" i="1"/>
  <c r="C1521" i="1"/>
  <c r="J1521" i="1"/>
  <c r="A2944" i="1"/>
  <c r="A1522" i="1"/>
  <c r="C1522" i="1"/>
  <c r="D1522" i="1"/>
  <c r="J1522" i="1"/>
  <c r="A1523" i="1"/>
  <c r="C1523" i="1"/>
  <c r="J1523" i="1"/>
  <c r="A1524" i="1"/>
  <c r="C1524" i="1"/>
  <c r="J1524" i="1"/>
  <c r="A1525" i="1"/>
  <c r="C1525" i="1"/>
  <c r="J1525" i="1"/>
  <c r="A1526" i="1"/>
  <c r="C1526" i="1"/>
  <c r="J1526" i="1"/>
  <c r="A2945" i="1"/>
  <c r="A1527" i="1"/>
  <c r="C1527" i="1"/>
  <c r="J1527" i="1"/>
  <c r="A2946" i="1"/>
  <c r="A1528" i="1"/>
  <c r="C1528" i="1"/>
  <c r="D1528" i="1"/>
  <c r="J1528" i="1"/>
  <c r="A1529" i="1"/>
  <c r="C1529" i="1"/>
  <c r="J1529" i="1"/>
  <c r="A1530" i="1"/>
  <c r="C1530" i="1"/>
  <c r="J1530" i="1"/>
  <c r="A1531" i="1"/>
  <c r="C1531" i="1"/>
  <c r="D1531" i="1"/>
  <c r="J1531" i="1"/>
  <c r="A1532" i="1"/>
  <c r="C1532" i="1"/>
  <c r="J1532" i="1"/>
  <c r="A1533" i="1"/>
  <c r="C1533" i="1"/>
  <c r="J1533" i="1"/>
  <c r="A1534" i="1"/>
  <c r="C1534" i="1"/>
  <c r="D1534" i="1"/>
  <c r="J1534" i="1"/>
  <c r="A1535" i="1"/>
  <c r="C1535" i="1"/>
  <c r="D1535" i="1"/>
  <c r="J1535" i="1"/>
  <c r="A2947" i="1"/>
  <c r="A1536" i="1"/>
  <c r="C1536" i="1"/>
  <c r="D1536" i="1"/>
  <c r="J1536" i="1"/>
  <c r="A1537" i="1"/>
  <c r="C1537" i="1"/>
  <c r="J1537" i="1"/>
  <c r="A1538" i="1"/>
  <c r="J1538" i="1"/>
  <c r="A1539" i="1"/>
  <c r="C1539" i="1"/>
  <c r="J1539" i="1"/>
  <c r="A1540" i="1"/>
  <c r="C1540" i="1"/>
  <c r="J1540" i="1"/>
  <c r="A1541" i="1"/>
  <c r="C1541" i="1"/>
  <c r="J1541" i="1"/>
  <c r="A1542" i="1"/>
  <c r="C1542" i="1"/>
  <c r="D1542" i="1"/>
  <c r="J1542" i="1"/>
  <c r="A1543" i="1"/>
  <c r="C1543" i="1"/>
  <c r="J1543" i="1"/>
  <c r="A1544" i="1"/>
  <c r="C1544" i="1"/>
  <c r="J1544" i="1"/>
  <c r="A2948" i="1"/>
  <c r="A1545" i="1"/>
  <c r="C1545" i="1"/>
  <c r="D1545" i="1"/>
  <c r="J1545" i="1"/>
  <c r="A1546" i="1"/>
  <c r="C1546" i="1"/>
  <c r="D1546" i="1"/>
  <c r="J1546" i="1"/>
  <c r="A1547" i="1"/>
  <c r="C1547" i="1"/>
  <c r="J1547" i="1"/>
  <c r="A1548" i="1"/>
  <c r="C1548" i="1"/>
  <c r="J1548" i="1"/>
  <c r="A1549" i="1"/>
  <c r="C1549" i="1"/>
  <c r="J1549" i="1"/>
  <c r="A1550" i="1"/>
  <c r="C1550" i="1"/>
  <c r="J1550" i="1"/>
  <c r="A1551" i="1"/>
  <c r="C1551" i="1"/>
  <c r="D1551" i="1"/>
  <c r="J1551" i="1"/>
  <c r="A1552" i="1"/>
  <c r="C1552" i="1"/>
  <c r="D1552" i="1"/>
  <c r="J1552" i="1"/>
  <c r="A1553" i="1"/>
  <c r="C1553" i="1"/>
  <c r="J1553" i="1"/>
  <c r="A1554" i="1"/>
  <c r="C1554" i="1"/>
  <c r="D1554" i="1"/>
  <c r="J1554" i="1"/>
  <c r="A1555" i="1"/>
  <c r="C1555" i="1"/>
  <c r="J1555" i="1"/>
  <c r="A1556" i="1"/>
  <c r="C1556" i="1"/>
  <c r="D1556" i="1"/>
  <c r="J1556" i="1"/>
  <c r="A1557" i="1"/>
  <c r="C1557" i="1"/>
  <c r="J1557" i="1"/>
  <c r="A1558" i="1"/>
  <c r="C1558" i="1"/>
  <c r="D1558" i="1"/>
  <c r="J1558" i="1"/>
  <c r="A1559" i="1"/>
  <c r="C1559" i="1"/>
  <c r="D1559" i="1"/>
  <c r="J1559" i="1"/>
  <c r="A1560" i="1"/>
  <c r="C1560" i="1"/>
  <c r="J1560" i="1"/>
  <c r="A1561" i="1"/>
  <c r="C1561" i="1"/>
  <c r="D1561" i="1"/>
  <c r="J1561" i="1"/>
  <c r="A1562" i="1"/>
  <c r="C1562" i="1"/>
  <c r="J1562" i="1"/>
  <c r="A2949" i="1"/>
  <c r="A1563" i="1"/>
  <c r="C1563" i="1"/>
  <c r="D1563" i="1"/>
  <c r="J1563" i="1"/>
  <c r="A1564" i="1"/>
  <c r="C1564" i="1"/>
  <c r="D1564" i="1"/>
  <c r="J1564" i="1"/>
  <c r="A1565" i="1"/>
  <c r="J1565" i="1"/>
  <c r="A1566" i="1"/>
  <c r="J1566" i="1"/>
  <c r="A1567" i="1"/>
  <c r="C1567" i="1"/>
  <c r="J1567" i="1"/>
  <c r="A1568" i="1"/>
  <c r="C1568" i="1"/>
  <c r="D1568" i="1"/>
  <c r="J1568" i="1"/>
  <c r="A1569" i="1"/>
  <c r="C1569" i="1"/>
  <c r="J1569" i="1"/>
  <c r="A1570" i="1"/>
  <c r="C1570" i="1"/>
  <c r="J1570" i="1"/>
  <c r="A1571" i="1"/>
  <c r="C1571" i="1"/>
  <c r="D1571" i="1"/>
  <c r="J1571" i="1"/>
  <c r="A1572" i="1"/>
  <c r="C1572" i="1"/>
  <c r="D1572" i="1"/>
  <c r="J1572" i="1"/>
  <c r="A3147" i="1"/>
  <c r="A1573" i="1"/>
  <c r="C1573" i="1"/>
  <c r="J1573" i="1"/>
  <c r="A1574" i="1"/>
  <c r="C1574" i="1"/>
  <c r="J1574" i="1"/>
  <c r="A1575" i="1"/>
  <c r="C1575" i="1"/>
  <c r="D1575" i="1"/>
  <c r="J1575" i="1"/>
  <c r="A1576" i="1"/>
  <c r="C1576" i="1"/>
  <c r="J1576" i="1"/>
  <c r="A1577" i="1"/>
  <c r="C1577" i="1"/>
  <c r="J1577" i="1"/>
  <c r="A1578" i="1"/>
  <c r="C1578" i="1"/>
  <c r="D1578" i="1"/>
  <c r="J1578" i="1"/>
  <c r="A1579" i="1"/>
  <c r="C1579" i="1"/>
  <c r="D1579" i="1"/>
  <c r="J1579" i="1"/>
  <c r="A1580" i="1"/>
  <c r="J1580" i="1"/>
  <c r="A1581" i="1"/>
  <c r="C1581" i="1"/>
  <c r="J1581" i="1"/>
  <c r="A3148" i="1"/>
  <c r="A1582" i="1"/>
  <c r="J1582" i="1"/>
  <c r="A2950" i="1"/>
  <c r="A1583" i="1"/>
  <c r="J1583" i="1"/>
  <c r="A1584" i="1"/>
  <c r="C1584" i="1"/>
  <c r="D1584" i="1"/>
  <c r="J1584" i="1"/>
  <c r="A1585" i="1"/>
  <c r="C1585" i="1"/>
  <c r="D1585" i="1"/>
  <c r="J1585" i="1"/>
  <c r="A1586" i="1"/>
  <c r="C1586" i="1"/>
  <c r="D1586" i="1"/>
  <c r="J1586" i="1"/>
  <c r="A1587" i="1"/>
  <c r="C1587" i="1"/>
  <c r="D1587" i="1"/>
  <c r="J1587" i="1"/>
  <c r="A1588" i="1"/>
  <c r="C1588" i="1"/>
  <c r="D1588" i="1"/>
  <c r="J1588" i="1"/>
  <c r="A2951" i="1"/>
  <c r="A1589" i="1"/>
  <c r="C1589" i="1"/>
  <c r="J1589" i="1"/>
  <c r="A1590" i="1"/>
  <c r="C1590" i="1"/>
  <c r="D1590" i="1"/>
  <c r="J1590" i="1"/>
  <c r="A1591" i="1"/>
  <c r="C1591" i="1"/>
  <c r="J1591" i="1"/>
  <c r="A1592" i="1"/>
  <c r="C1592" i="1"/>
  <c r="D1592" i="1"/>
  <c r="J1592" i="1"/>
  <c r="A1593" i="1"/>
  <c r="C1593" i="1"/>
  <c r="D1593" i="1"/>
  <c r="J1593" i="1"/>
  <c r="A1594" i="1"/>
  <c r="C1594" i="1"/>
  <c r="J1594" i="1"/>
  <c r="A1595" i="1"/>
  <c r="C1595" i="1"/>
  <c r="D1595" i="1"/>
  <c r="J1595" i="1"/>
  <c r="A1596" i="1"/>
  <c r="C1596" i="1"/>
  <c r="J1596" i="1"/>
  <c r="A1597" i="1"/>
  <c r="C1597" i="1"/>
  <c r="D1597" i="1"/>
  <c r="J1597" i="1"/>
  <c r="A1598" i="1"/>
  <c r="C1598" i="1"/>
  <c r="D1598" i="1"/>
  <c r="J1598" i="1"/>
  <c r="A2952" i="1"/>
  <c r="A1599" i="1"/>
  <c r="C1599" i="1"/>
  <c r="J1599" i="1"/>
  <c r="A1600" i="1"/>
  <c r="C1600" i="1"/>
  <c r="D1600" i="1"/>
  <c r="J1600" i="1"/>
  <c r="A1601" i="1"/>
  <c r="C1601" i="1"/>
  <c r="J1601" i="1"/>
  <c r="A1602" i="1"/>
  <c r="C1602" i="1"/>
  <c r="J1602" i="1"/>
  <c r="A2953" i="1"/>
  <c r="A1603" i="1"/>
  <c r="C1603" i="1"/>
  <c r="D1603" i="1"/>
  <c r="J1603" i="1"/>
  <c r="A1604" i="1"/>
  <c r="C1604" i="1"/>
  <c r="D1604" i="1"/>
  <c r="J1604" i="1"/>
  <c r="A2954" i="1"/>
  <c r="A1605" i="1"/>
  <c r="C1605" i="1"/>
  <c r="J1605" i="1"/>
  <c r="A1606" i="1"/>
  <c r="C1606" i="1"/>
  <c r="D1606" i="1"/>
  <c r="J1606" i="1"/>
  <c r="A1607" i="1"/>
  <c r="C1607" i="1"/>
  <c r="D1607" i="1"/>
  <c r="J1607" i="1"/>
  <c r="A1608" i="1"/>
  <c r="C1608" i="1"/>
  <c r="J1608" i="1"/>
  <c r="A1609" i="1"/>
  <c r="C1609" i="1"/>
  <c r="J1609" i="1"/>
  <c r="A1610" i="1"/>
  <c r="C1610" i="1"/>
  <c r="J1610" i="1"/>
  <c r="A1611" i="1"/>
  <c r="C1611" i="1"/>
  <c r="J1611" i="1"/>
  <c r="A1612" i="1"/>
  <c r="C1612" i="1"/>
  <c r="D1612" i="1"/>
  <c r="J1612" i="1"/>
  <c r="A1613" i="1"/>
  <c r="C1613" i="1"/>
  <c r="J1613" i="1"/>
  <c r="A1614" i="1"/>
  <c r="C1614" i="1"/>
  <c r="J1614" i="1"/>
  <c r="A1615" i="1"/>
  <c r="C1615" i="1"/>
  <c r="D1615" i="1"/>
  <c r="J1615" i="1"/>
  <c r="A1616" i="1"/>
  <c r="C1616" i="1"/>
  <c r="D1616" i="1"/>
  <c r="J1616" i="1"/>
  <c r="A1617" i="1"/>
  <c r="C1617" i="1"/>
  <c r="D1617" i="1"/>
  <c r="J1617" i="1"/>
  <c r="A1618" i="1"/>
  <c r="C1618" i="1"/>
  <c r="J1618" i="1"/>
  <c r="A1619" i="1"/>
  <c r="C1619" i="1"/>
  <c r="J1619" i="1"/>
  <c r="A1620" i="1"/>
  <c r="C1620" i="1"/>
  <c r="J1620" i="1"/>
  <c r="A1621" i="1"/>
  <c r="C1621" i="1"/>
  <c r="D1621" i="1"/>
  <c r="J1621" i="1"/>
  <c r="A2955" i="1"/>
  <c r="A1622" i="1"/>
  <c r="C1622" i="1"/>
  <c r="D1622" i="1"/>
  <c r="J1622" i="1"/>
  <c r="A1623" i="1"/>
  <c r="C1623" i="1"/>
  <c r="J1623" i="1"/>
  <c r="A1624" i="1"/>
  <c r="C1624" i="1"/>
  <c r="D1624" i="1"/>
  <c r="J1624" i="1"/>
  <c r="A1625" i="1"/>
  <c r="C1625" i="1"/>
  <c r="J1625" i="1"/>
  <c r="A1626" i="1"/>
  <c r="C1626" i="1"/>
  <c r="D1626" i="1"/>
  <c r="J1626" i="1"/>
  <c r="A1627" i="1"/>
  <c r="C1627" i="1"/>
  <c r="D1627" i="1"/>
  <c r="J1627" i="1"/>
  <c r="A1628" i="1"/>
  <c r="C1628" i="1"/>
  <c r="J1628" i="1"/>
  <c r="A1629" i="1"/>
  <c r="C1629" i="1"/>
  <c r="J1629" i="1"/>
  <c r="A1630" i="1"/>
  <c r="C1630" i="1"/>
  <c r="J1630" i="1"/>
  <c r="A1631" i="1"/>
  <c r="C1631" i="1"/>
  <c r="J1631" i="1"/>
  <c r="A1632" i="1"/>
  <c r="C1632" i="1"/>
  <c r="D1632" i="1"/>
  <c r="J1632" i="1"/>
  <c r="A1633" i="1"/>
  <c r="C1633" i="1"/>
  <c r="J1633" i="1"/>
  <c r="A1634" i="1"/>
  <c r="C1634" i="1"/>
  <c r="J1634" i="1"/>
  <c r="A1635" i="1"/>
  <c r="C1635" i="1"/>
  <c r="D1635" i="1"/>
  <c r="J1635" i="1"/>
  <c r="A1636" i="1"/>
  <c r="C1636" i="1"/>
  <c r="J1636" i="1"/>
  <c r="A1637" i="1"/>
  <c r="C1637" i="1"/>
  <c r="J1637" i="1"/>
  <c r="A1638" i="1"/>
  <c r="C1638" i="1"/>
  <c r="D1638" i="1"/>
  <c r="J1638" i="1"/>
  <c r="A1639" i="1"/>
  <c r="C1639" i="1"/>
  <c r="J1639" i="1"/>
  <c r="A1640" i="1"/>
  <c r="C1640" i="1"/>
  <c r="J1640" i="1"/>
  <c r="A1641" i="1"/>
  <c r="C1641" i="1"/>
  <c r="D1641" i="1"/>
  <c r="J1641" i="1"/>
  <c r="A1642" i="1"/>
  <c r="C1642" i="1"/>
  <c r="D1642" i="1"/>
  <c r="J1642" i="1"/>
  <c r="A1643" i="1"/>
  <c r="C1643" i="1"/>
  <c r="J1643" i="1"/>
  <c r="A1644" i="1"/>
  <c r="C1644" i="1"/>
  <c r="D1644" i="1"/>
  <c r="J1644" i="1"/>
  <c r="A1645" i="1"/>
  <c r="C1645" i="1"/>
  <c r="J1645" i="1"/>
  <c r="A1646" i="1"/>
  <c r="C1646" i="1"/>
  <c r="J1646" i="1"/>
  <c r="A1647" i="1"/>
  <c r="C1647" i="1"/>
  <c r="J1647" i="1"/>
  <c r="A1648" i="1"/>
  <c r="C1648" i="1"/>
  <c r="J1648" i="1"/>
  <c r="A2956" i="1"/>
  <c r="A1649" i="1"/>
  <c r="C1649" i="1"/>
  <c r="J1649" i="1"/>
  <c r="A1650" i="1"/>
  <c r="C1650" i="1"/>
  <c r="J1650" i="1"/>
  <c r="A1651" i="1"/>
  <c r="C1651" i="1"/>
  <c r="J1651" i="1"/>
  <c r="A1652" i="1"/>
  <c r="C1652" i="1"/>
  <c r="J1652" i="1"/>
  <c r="A1653" i="1"/>
  <c r="C1653" i="1"/>
  <c r="D1653" i="1"/>
  <c r="J1653" i="1"/>
  <c r="A1654" i="1"/>
  <c r="C1654" i="1"/>
  <c r="J1654" i="1"/>
  <c r="A1655" i="1"/>
  <c r="C1655" i="1"/>
  <c r="J1655" i="1"/>
  <c r="A1656" i="1"/>
  <c r="C1656" i="1"/>
  <c r="J1656" i="1"/>
  <c r="A1657" i="1"/>
  <c r="C1657" i="1"/>
  <c r="D1657" i="1"/>
  <c r="J1657" i="1"/>
  <c r="A2957" i="1"/>
  <c r="A1658" i="1"/>
  <c r="C1658" i="1"/>
  <c r="J1658" i="1"/>
  <c r="A1659" i="1"/>
  <c r="C1659" i="1"/>
  <c r="J1659" i="1"/>
  <c r="A1660" i="1"/>
  <c r="C1660" i="1"/>
  <c r="J1660" i="1"/>
  <c r="A1661" i="1"/>
  <c r="C1661" i="1"/>
  <c r="D1661" i="1"/>
  <c r="J1661" i="1"/>
  <c r="A2958" i="1"/>
  <c r="A1662" i="1"/>
  <c r="C1662" i="1"/>
  <c r="D1662" i="1"/>
  <c r="J1662" i="1"/>
  <c r="A1663" i="1"/>
  <c r="C1663" i="1"/>
  <c r="D1663" i="1"/>
  <c r="J1663" i="1"/>
  <c r="A1664" i="1"/>
  <c r="C1664" i="1"/>
  <c r="J1664" i="1"/>
  <c r="A2959" i="1"/>
  <c r="A1665" i="1"/>
  <c r="C1665" i="1"/>
  <c r="D1665" i="1"/>
  <c r="J1665" i="1"/>
  <c r="A1666" i="1"/>
  <c r="C1666" i="1"/>
  <c r="D1666" i="1"/>
  <c r="J1666" i="1"/>
  <c r="A2960" i="1"/>
  <c r="A2961" i="1"/>
  <c r="A1667" i="1"/>
  <c r="C1667" i="1"/>
  <c r="D1667" i="1"/>
  <c r="J1667" i="1"/>
  <c r="A1668" i="1"/>
  <c r="C1668" i="1"/>
  <c r="J1668" i="1"/>
  <c r="A1669" i="1"/>
  <c r="C1669" i="1"/>
  <c r="D1669" i="1"/>
  <c r="J1669" i="1"/>
  <c r="A1670" i="1"/>
  <c r="C1670" i="1"/>
  <c r="D1670" i="1"/>
  <c r="J1670" i="1"/>
  <c r="A1671" i="1"/>
  <c r="C1671" i="1"/>
  <c r="J1671" i="1"/>
  <c r="A1672" i="1"/>
  <c r="C1672" i="1"/>
  <c r="D1672" i="1"/>
  <c r="J1672" i="1"/>
  <c r="A1673" i="1"/>
  <c r="C1673" i="1"/>
  <c r="J1673" i="1"/>
  <c r="A1674" i="1"/>
  <c r="C1674" i="1"/>
  <c r="J1674" i="1"/>
  <c r="A1675" i="1"/>
  <c r="C1675" i="1"/>
  <c r="J1675" i="1"/>
  <c r="A2962" i="1"/>
  <c r="A1676" i="1"/>
  <c r="C1676" i="1"/>
  <c r="J1676" i="1"/>
  <c r="A2963" i="1"/>
  <c r="A1677" i="1"/>
  <c r="C1677" i="1"/>
  <c r="J1677" i="1"/>
  <c r="A2964" i="1"/>
  <c r="A2965" i="1"/>
  <c r="A1678" i="1"/>
  <c r="C1678" i="1"/>
  <c r="J1678" i="1"/>
  <c r="A3149" i="1"/>
  <c r="A1679" i="1"/>
  <c r="C1679" i="1"/>
  <c r="J1679" i="1"/>
  <c r="A1680" i="1"/>
  <c r="C1680" i="1"/>
  <c r="J1680" i="1"/>
  <c r="A1681" i="1"/>
  <c r="C1681" i="1"/>
  <c r="J1681" i="1"/>
  <c r="A1682" i="1"/>
  <c r="C1682" i="1"/>
  <c r="D1682" i="1"/>
  <c r="J1682" i="1"/>
  <c r="A1683" i="1"/>
  <c r="C1683" i="1"/>
  <c r="J1683" i="1"/>
  <c r="A1684" i="1"/>
  <c r="C1684" i="1"/>
  <c r="J1684" i="1"/>
  <c r="A1685" i="1"/>
  <c r="C1685" i="1"/>
  <c r="D1685" i="1"/>
  <c r="J1685" i="1"/>
  <c r="A1686" i="1"/>
  <c r="C1686" i="1"/>
  <c r="D1686" i="1"/>
  <c r="J1686" i="1"/>
  <c r="A1687" i="1"/>
  <c r="C1687" i="1"/>
  <c r="D1687" i="1"/>
  <c r="J1687" i="1"/>
  <c r="A1688" i="1"/>
  <c r="C1688" i="1"/>
  <c r="J1688" i="1"/>
  <c r="A1689" i="1"/>
  <c r="C1689" i="1"/>
  <c r="J1689" i="1"/>
  <c r="A1690" i="1"/>
  <c r="C1690" i="1"/>
  <c r="J1690" i="1"/>
  <c r="A1691" i="1"/>
  <c r="C1691" i="1"/>
  <c r="D1691" i="1"/>
  <c r="J1691" i="1"/>
  <c r="A1692" i="1"/>
  <c r="C1692" i="1"/>
  <c r="J1692" i="1"/>
  <c r="A1693" i="1"/>
  <c r="C1693" i="1"/>
  <c r="D1693" i="1"/>
  <c r="J1693" i="1"/>
  <c r="A1694" i="1"/>
  <c r="C1694" i="1"/>
  <c r="J1694" i="1"/>
  <c r="A1695" i="1"/>
  <c r="C1695" i="1"/>
  <c r="J1695" i="1"/>
  <c r="A1696" i="1"/>
  <c r="C1696" i="1"/>
  <c r="J1696" i="1"/>
  <c r="A1697" i="1"/>
  <c r="C1697" i="1"/>
  <c r="J1697" i="1"/>
  <c r="A1698" i="1"/>
  <c r="C1698" i="1"/>
  <c r="D1698" i="1"/>
  <c r="J1698" i="1"/>
  <c r="A1699" i="1"/>
  <c r="C1699" i="1"/>
  <c r="J1699" i="1"/>
  <c r="A1700" i="1"/>
  <c r="C1700" i="1"/>
  <c r="D1700" i="1"/>
  <c r="J1700" i="1"/>
  <c r="A1701" i="1"/>
  <c r="C1701" i="1"/>
  <c r="J1701" i="1"/>
  <c r="A1702" i="1"/>
  <c r="C1702" i="1"/>
  <c r="J1702" i="1"/>
  <c r="A1703" i="1"/>
  <c r="C1703" i="1"/>
  <c r="J1703" i="1"/>
  <c r="A2966" i="1"/>
  <c r="A1704" i="1"/>
  <c r="C1704" i="1"/>
  <c r="J1704" i="1"/>
  <c r="A1705" i="1"/>
  <c r="C1705" i="1"/>
  <c r="J1705" i="1"/>
  <c r="A1706" i="1"/>
  <c r="C1706" i="1"/>
  <c r="J1706" i="1"/>
  <c r="A1707" i="1"/>
  <c r="C1707" i="1"/>
  <c r="J1707" i="1"/>
  <c r="A2967" i="1"/>
  <c r="A2968" i="1"/>
  <c r="A1708" i="1"/>
  <c r="C1708" i="1"/>
  <c r="D1708" i="1"/>
  <c r="J1708" i="1"/>
  <c r="A1709" i="1"/>
  <c r="C1709" i="1"/>
  <c r="J1709" i="1"/>
  <c r="A1710" i="1"/>
  <c r="C1710" i="1"/>
  <c r="J1710" i="1"/>
  <c r="A1711" i="1"/>
  <c r="C1711" i="1"/>
  <c r="J1711" i="1"/>
  <c r="A1712" i="1"/>
  <c r="C1712" i="1"/>
  <c r="J1712" i="1"/>
  <c r="A1713" i="1"/>
  <c r="C1713" i="1"/>
  <c r="D1713" i="1"/>
  <c r="J1713" i="1"/>
  <c r="A2969" i="1"/>
  <c r="A1714" i="1"/>
  <c r="C1714" i="1"/>
  <c r="J1714" i="1"/>
  <c r="A1715" i="1"/>
  <c r="C1715" i="1"/>
  <c r="J1715" i="1"/>
  <c r="A1716" i="1"/>
  <c r="C1716" i="1"/>
  <c r="J1716" i="1"/>
  <c r="A1717" i="1"/>
  <c r="C1717" i="1"/>
  <c r="J1717" i="1"/>
  <c r="A1718" i="1"/>
  <c r="C1718" i="1"/>
  <c r="J1718" i="1"/>
  <c r="A1719" i="1"/>
  <c r="C1719" i="1"/>
  <c r="D1719" i="1"/>
  <c r="J1719" i="1"/>
  <c r="A1720" i="1"/>
  <c r="C1720" i="1"/>
  <c r="D1720" i="1"/>
  <c r="J1720" i="1"/>
  <c r="A1721" i="1"/>
  <c r="C1721" i="1"/>
  <c r="D1721" i="1"/>
  <c r="J1721" i="1"/>
  <c r="A1722" i="1"/>
  <c r="C1722" i="1"/>
  <c r="D1722" i="1"/>
  <c r="J1722" i="1"/>
  <c r="A1723" i="1"/>
  <c r="C1723" i="1"/>
  <c r="J1723" i="1"/>
  <c r="A1724" i="1"/>
  <c r="C1724" i="1"/>
  <c r="D1724" i="1"/>
  <c r="J1724" i="1"/>
  <c r="A1725" i="1"/>
  <c r="C1725" i="1"/>
  <c r="J1725" i="1"/>
  <c r="A1726" i="1"/>
  <c r="C1726" i="1"/>
  <c r="J1726" i="1"/>
  <c r="A2970" i="1"/>
  <c r="A2971" i="1"/>
  <c r="A1727" i="1"/>
  <c r="C1727" i="1"/>
  <c r="D1727" i="1"/>
  <c r="J1727" i="1"/>
  <c r="A1728" i="1"/>
  <c r="C1728" i="1"/>
  <c r="D1728" i="1"/>
  <c r="J1728" i="1"/>
  <c r="A1729" i="1"/>
  <c r="C1729" i="1"/>
  <c r="D1729" i="1"/>
  <c r="J1729" i="1"/>
  <c r="A1730" i="1"/>
  <c r="C1730" i="1"/>
  <c r="D1730" i="1"/>
  <c r="J1730" i="1"/>
  <c r="A1731" i="1"/>
  <c r="C1731" i="1"/>
  <c r="D1731" i="1"/>
  <c r="J1731" i="1"/>
  <c r="A1732" i="1"/>
  <c r="C1732" i="1"/>
  <c r="J1732" i="1"/>
  <c r="A2972" i="1"/>
  <c r="A1733" i="1"/>
  <c r="C1733" i="1"/>
  <c r="D1733" i="1"/>
  <c r="J1733" i="1"/>
  <c r="A1734" i="1"/>
  <c r="C1734" i="1"/>
  <c r="D1734" i="1"/>
  <c r="J1734" i="1"/>
  <c r="A2973" i="1"/>
  <c r="A1735" i="1"/>
  <c r="C1735" i="1"/>
  <c r="J1735" i="1"/>
  <c r="A1736" i="1"/>
  <c r="C1736" i="1"/>
  <c r="D1736" i="1"/>
  <c r="J1736" i="1"/>
  <c r="A1737" i="1"/>
  <c r="C1737" i="1"/>
  <c r="J1737" i="1"/>
  <c r="A1738" i="1"/>
  <c r="C1738" i="1"/>
  <c r="J1738" i="1"/>
  <c r="A1739" i="1"/>
  <c r="C1739" i="1"/>
  <c r="J1739" i="1"/>
  <c r="A1740" i="1"/>
  <c r="C1740" i="1"/>
  <c r="J1740" i="1"/>
  <c r="A1741" i="1"/>
  <c r="C1741" i="1"/>
  <c r="J1741" i="1"/>
  <c r="A1742" i="1"/>
  <c r="C1742" i="1"/>
  <c r="J1742" i="1"/>
  <c r="A1743" i="1"/>
  <c r="C1743" i="1"/>
  <c r="J1743" i="1"/>
  <c r="A1744" i="1"/>
  <c r="C1744" i="1"/>
  <c r="J1744" i="1"/>
  <c r="A1745" i="1"/>
  <c r="C1745" i="1"/>
  <c r="J1745" i="1"/>
  <c r="A1746" i="1"/>
  <c r="C1746" i="1"/>
  <c r="D1746" i="1"/>
  <c r="J1746" i="1"/>
  <c r="A1747" i="1"/>
  <c r="C1747" i="1"/>
  <c r="J1747" i="1"/>
  <c r="A1748" i="1"/>
  <c r="C1748" i="1"/>
  <c r="J1748" i="1"/>
  <c r="A1749" i="1"/>
  <c r="C1749" i="1"/>
  <c r="J1749" i="1"/>
  <c r="A1750" i="1"/>
  <c r="C1750" i="1"/>
  <c r="D1750" i="1"/>
  <c r="J1750" i="1"/>
  <c r="A1751" i="1"/>
  <c r="C1751" i="1"/>
  <c r="D1751" i="1"/>
  <c r="J1751" i="1"/>
  <c r="A1752" i="1"/>
  <c r="C1752" i="1"/>
  <c r="D1752" i="1"/>
  <c r="J1752" i="1"/>
  <c r="A1753" i="1"/>
  <c r="C1753" i="1"/>
  <c r="J1753" i="1"/>
  <c r="A1754" i="1"/>
  <c r="C1754" i="1"/>
  <c r="D1754" i="1"/>
  <c r="J1754" i="1"/>
  <c r="A1755" i="1"/>
  <c r="C1755" i="1"/>
  <c r="D1755" i="1"/>
  <c r="J1755" i="1"/>
  <c r="A1756" i="1"/>
  <c r="C1756" i="1"/>
  <c r="J1756" i="1"/>
  <c r="A1757" i="1"/>
  <c r="C1757" i="1"/>
  <c r="J1757" i="1"/>
  <c r="A1758" i="1"/>
  <c r="C1758" i="1"/>
  <c r="J1758" i="1"/>
  <c r="A1759" i="1"/>
  <c r="C1759" i="1"/>
  <c r="D1759" i="1"/>
  <c r="J1759" i="1"/>
  <c r="A1760" i="1"/>
  <c r="C1760" i="1"/>
  <c r="D1760" i="1"/>
  <c r="J1760" i="1"/>
  <c r="A1761" i="1"/>
  <c r="C1761" i="1"/>
  <c r="D1761" i="1"/>
  <c r="J1761" i="1"/>
  <c r="A1762" i="1"/>
  <c r="C1762" i="1"/>
  <c r="J1762" i="1"/>
  <c r="A1763" i="1"/>
  <c r="C1763" i="1"/>
  <c r="J1763" i="1"/>
  <c r="A1764" i="1"/>
  <c r="C1764" i="1"/>
  <c r="J1764" i="1"/>
  <c r="A2974" i="1"/>
  <c r="A1765" i="1"/>
  <c r="C1765" i="1"/>
  <c r="D1765" i="1"/>
  <c r="J1765" i="1"/>
  <c r="A1766" i="1"/>
  <c r="C1766" i="1"/>
  <c r="J1766" i="1"/>
  <c r="A1767" i="1"/>
  <c r="C1767" i="1"/>
  <c r="J1767" i="1"/>
  <c r="A1768" i="1"/>
  <c r="C1768" i="1"/>
  <c r="D1768" i="1"/>
  <c r="J1768" i="1"/>
  <c r="A1769" i="1"/>
  <c r="C1769" i="1"/>
  <c r="D1769" i="1"/>
  <c r="J1769" i="1"/>
  <c r="A1770" i="1"/>
  <c r="C1770" i="1"/>
  <c r="J1770" i="1"/>
  <c r="A1771" i="1"/>
  <c r="C1771" i="1"/>
  <c r="J1771" i="1"/>
  <c r="A1772" i="1"/>
  <c r="C1772" i="1"/>
  <c r="D1772" i="1"/>
  <c r="J1772" i="1"/>
  <c r="A1773" i="1"/>
  <c r="C1773" i="1"/>
  <c r="J1773" i="1"/>
  <c r="A1774" i="1"/>
  <c r="C1774" i="1"/>
  <c r="D1774" i="1"/>
  <c r="J1774" i="1"/>
  <c r="A1775" i="1"/>
  <c r="C1775" i="1"/>
  <c r="D1775" i="1"/>
  <c r="J1775" i="1"/>
  <c r="A1776" i="1"/>
  <c r="C1776" i="1"/>
  <c r="J1776" i="1"/>
  <c r="A1777" i="1"/>
  <c r="C1777" i="1"/>
  <c r="J1777" i="1"/>
  <c r="A1778" i="1"/>
  <c r="C1778" i="1"/>
  <c r="D1778" i="1"/>
  <c r="J1778" i="1"/>
  <c r="A1779" i="1"/>
  <c r="C1779" i="1"/>
  <c r="J1779" i="1"/>
  <c r="A1780" i="1"/>
  <c r="C1780" i="1"/>
  <c r="J1780" i="1"/>
  <c r="A1781" i="1"/>
  <c r="C1781" i="1"/>
  <c r="J1781" i="1"/>
  <c r="A1782" i="1"/>
  <c r="C1782" i="1"/>
  <c r="J1782" i="1"/>
  <c r="A1783" i="1"/>
  <c r="C1783" i="1"/>
  <c r="J1783" i="1"/>
  <c r="A1784" i="1"/>
  <c r="C1784" i="1"/>
  <c r="J1784" i="1"/>
  <c r="A1785" i="1"/>
  <c r="C1785" i="1"/>
  <c r="D1785" i="1"/>
  <c r="J1785" i="1"/>
  <c r="A1786" i="1"/>
  <c r="C1786" i="1"/>
  <c r="J1786" i="1"/>
  <c r="A1787" i="1"/>
  <c r="C1787" i="1"/>
  <c r="J1787" i="1"/>
  <c r="A1788" i="1"/>
  <c r="C1788" i="1"/>
  <c r="J1788" i="1"/>
  <c r="A1789" i="1"/>
  <c r="C1789" i="1"/>
  <c r="J1789" i="1"/>
  <c r="A1790" i="1"/>
  <c r="C1790" i="1"/>
  <c r="J1790" i="1"/>
  <c r="A1791" i="1"/>
  <c r="C1791" i="1"/>
  <c r="J1791" i="1"/>
  <c r="A1792" i="1"/>
  <c r="C1792" i="1"/>
  <c r="J1792" i="1"/>
  <c r="A3150" i="1"/>
  <c r="A2975" i="1"/>
  <c r="A1793" i="1"/>
  <c r="C1793" i="1"/>
  <c r="D1793" i="1"/>
  <c r="J1793" i="1"/>
  <c r="A1794" i="1"/>
  <c r="C1794" i="1"/>
  <c r="J1794" i="1"/>
  <c r="A1795" i="1"/>
  <c r="C1795" i="1"/>
  <c r="J1795" i="1"/>
  <c r="A2976" i="1"/>
  <c r="A1796" i="1"/>
  <c r="C1796" i="1"/>
  <c r="J1796" i="1"/>
  <c r="A1797" i="1"/>
  <c r="C1797" i="1"/>
  <c r="J1797" i="1"/>
  <c r="A1798" i="1"/>
  <c r="C1798" i="1"/>
  <c r="J1798" i="1"/>
  <c r="A1799" i="1"/>
  <c r="C1799" i="1"/>
  <c r="D1799" i="1"/>
  <c r="J1799" i="1"/>
  <c r="A1800" i="1"/>
  <c r="C1800" i="1"/>
  <c r="D1800" i="1"/>
  <c r="J1800" i="1"/>
  <c r="A1801" i="1"/>
  <c r="C1801" i="1"/>
  <c r="J1801" i="1"/>
  <c r="A1802" i="1"/>
  <c r="C1802" i="1"/>
  <c r="J1802" i="1"/>
  <c r="A1803" i="1"/>
  <c r="C1803" i="1"/>
  <c r="J1803" i="1"/>
  <c r="A1804" i="1"/>
  <c r="C1804" i="1"/>
  <c r="J1804" i="1"/>
  <c r="A1805" i="1"/>
  <c r="C1805" i="1"/>
  <c r="D1805" i="1"/>
  <c r="J1805" i="1"/>
  <c r="A1806" i="1"/>
  <c r="C1806" i="1"/>
  <c r="J1806" i="1"/>
  <c r="A1807" i="1"/>
  <c r="C1807" i="1"/>
  <c r="J1807" i="1"/>
  <c r="A1808" i="1"/>
  <c r="C1808" i="1"/>
  <c r="J1808" i="1"/>
  <c r="A1809" i="1"/>
  <c r="C1809" i="1"/>
  <c r="D1809" i="1"/>
  <c r="J1809" i="1"/>
  <c r="A1810" i="1"/>
  <c r="C1810" i="1"/>
  <c r="J1810" i="1"/>
  <c r="A1811" i="1"/>
  <c r="C1811" i="1"/>
  <c r="D1811" i="1"/>
  <c r="J1811" i="1"/>
  <c r="A1812" i="1"/>
  <c r="C1812" i="1"/>
  <c r="J1812" i="1"/>
  <c r="A1813" i="1"/>
  <c r="C1813" i="1"/>
  <c r="D1813" i="1"/>
  <c r="J1813" i="1"/>
  <c r="A1814" i="1"/>
  <c r="C1814" i="1"/>
  <c r="J1814" i="1"/>
  <c r="A1815" i="1"/>
  <c r="C1815" i="1"/>
  <c r="J1815" i="1"/>
  <c r="A1816" i="1"/>
  <c r="C1816" i="1"/>
  <c r="D1816" i="1"/>
  <c r="J1816" i="1"/>
  <c r="A1817" i="1"/>
  <c r="C1817" i="1"/>
  <c r="D1817" i="1"/>
  <c r="J1817" i="1"/>
  <c r="A1818" i="1"/>
  <c r="C1818" i="1"/>
  <c r="D1818" i="1"/>
  <c r="J1818" i="1"/>
  <c r="A1819" i="1"/>
  <c r="C1819" i="1"/>
  <c r="D1819" i="1"/>
  <c r="J1819" i="1"/>
  <c r="A1820" i="1"/>
  <c r="C1820" i="1"/>
  <c r="D1820" i="1"/>
  <c r="J1820" i="1"/>
  <c r="A1821" i="1"/>
  <c r="C1821" i="1"/>
  <c r="D1821" i="1"/>
  <c r="J1821" i="1"/>
  <c r="A1822" i="1"/>
  <c r="C1822" i="1"/>
  <c r="D1822" i="1"/>
  <c r="J1822" i="1"/>
  <c r="A1823" i="1"/>
  <c r="C1823" i="1"/>
  <c r="J1823" i="1"/>
  <c r="A1824" i="1"/>
  <c r="C1824" i="1"/>
  <c r="D1824" i="1"/>
  <c r="J1824" i="1"/>
  <c r="A1825" i="1"/>
  <c r="C1825" i="1"/>
  <c r="J1825" i="1"/>
  <c r="A1826" i="1"/>
  <c r="C1826" i="1"/>
  <c r="J1826" i="1"/>
  <c r="A1827" i="1"/>
  <c r="C1827" i="1"/>
  <c r="J1827" i="1"/>
  <c r="A1828" i="1"/>
  <c r="C1828" i="1"/>
  <c r="D1828" i="1"/>
  <c r="J1828" i="1"/>
  <c r="A2977" i="1"/>
  <c r="A1829" i="1"/>
  <c r="C1829" i="1"/>
  <c r="D1829" i="1"/>
  <c r="J1829" i="1"/>
  <c r="A1830" i="1"/>
  <c r="C1830" i="1"/>
  <c r="D1830" i="1"/>
  <c r="J1830" i="1"/>
  <c r="A3151" i="1"/>
  <c r="A1831" i="1"/>
  <c r="C1831" i="1"/>
  <c r="J1831" i="1"/>
  <c r="A2978" i="1"/>
  <c r="A1832" i="1"/>
  <c r="C1832" i="1"/>
  <c r="D1832" i="1"/>
  <c r="J1832" i="1"/>
  <c r="A1833" i="1"/>
  <c r="C1833" i="1"/>
  <c r="J1833" i="1"/>
  <c r="A1834" i="1"/>
  <c r="J1834" i="1"/>
  <c r="A1835" i="1"/>
  <c r="C1835" i="1"/>
  <c r="D1835" i="1"/>
  <c r="J1835" i="1"/>
  <c r="A1836" i="1"/>
  <c r="C1836" i="1"/>
  <c r="J1836" i="1"/>
  <c r="A1837" i="1"/>
  <c r="C1837" i="1"/>
  <c r="D1837" i="1"/>
  <c r="J1837" i="1"/>
  <c r="A1838" i="1"/>
  <c r="C1838" i="1"/>
  <c r="D1838" i="1"/>
  <c r="J1838" i="1"/>
  <c r="A1839" i="1"/>
  <c r="C1839" i="1"/>
  <c r="D1839" i="1"/>
  <c r="J1839" i="1"/>
  <c r="A2979" i="1"/>
  <c r="A1840" i="1"/>
  <c r="C1840" i="1"/>
  <c r="J1840" i="1"/>
  <c r="A1841" i="1"/>
  <c r="C1841" i="1"/>
  <c r="D1841" i="1"/>
  <c r="J1841" i="1"/>
  <c r="A1842" i="1"/>
  <c r="C1842" i="1"/>
  <c r="J1842" i="1"/>
  <c r="A2980" i="1"/>
  <c r="A3152" i="1"/>
  <c r="A1843" i="1"/>
  <c r="C1843" i="1"/>
  <c r="D1843" i="1"/>
  <c r="J1843" i="1"/>
  <c r="A2981" i="1"/>
  <c r="A1844" i="1"/>
  <c r="C1844" i="1"/>
  <c r="J1844" i="1"/>
  <c r="A1845" i="1"/>
  <c r="C1845" i="1"/>
  <c r="D1845" i="1"/>
  <c r="J1845" i="1"/>
  <c r="A2982" i="1"/>
  <c r="A1846" i="1"/>
  <c r="C1846" i="1"/>
  <c r="J1846" i="1"/>
  <c r="A1847" i="1"/>
  <c r="C1847" i="1"/>
  <c r="J1847" i="1"/>
  <c r="A2983" i="1"/>
  <c r="A1848" i="1"/>
  <c r="C1848" i="1"/>
  <c r="J1848" i="1"/>
  <c r="A2984" i="1"/>
  <c r="A1849" i="1"/>
  <c r="C1849" i="1"/>
  <c r="D1849" i="1"/>
  <c r="J1849" i="1"/>
  <c r="A1850" i="1"/>
  <c r="C1850" i="1"/>
  <c r="D1850" i="1"/>
  <c r="J1850" i="1"/>
  <c r="A1851" i="1"/>
  <c r="C1851" i="1"/>
  <c r="D1851" i="1"/>
  <c r="J1851" i="1"/>
  <c r="A1852" i="1"/>
  <c r="C1852" i="1"/>
  <c r="D1852" i="1"/>
  <c r="J1852" i="1"/>
  <c r="A1853" i="1"/>
  <c r="J1853" i="1"/>
  <c r="A3153" i="1"/>
  <c r="A2985" i="1"/>
  <c r="A1854" i="1"/>
  <c r="J1854" i="1"/>
  <c r="A1855" i="1"/>
  <c r="J1855" i="1"/>
  <c r="A1856" i="1"/>
  <c r="C1856" i="1"/>
  <c r="D1856" i="1"/>
  <c r="J1856" i="1"/>
  <c r="A3154" i="1"/>
  <c r="A2986" i="1"/>
  <c r="A1857" i="1"/>
  <c r="J1857" i="1"/>
  <c r="A1858" i="1"/>
  <c r="C1858" i="1"/>
  <c r="D1858" i="1"/>
  <c r="J1858" i="1"/>
  <c r="A1859" i="1"/>
  <c r="J1859" i="1"/>
  <c r="A1860" i="1"/>
  <c r="J1860" i="1"/>
  <c r="A1861" i="1"/>
  <c r="C1861" i="1"/>
  <c r="J1861" i="1"/>
  <c r="A1862" i="1"/>
  <c r="J1862" i="1"/>
  <c r="A1863" i="1"/>
  <c r="C1863" i="1"/>
  <c r="D1863" i="1"/>
  <c r="J1863" i="1"/>
  <c r="A2987" i="1"/>
  <c r="A1864" i="1"/>
  <c r="C1864" i="1"/>
  <c r="D1864" i="1"/>
  <c r="J1864" i="1"/>
  <c r="A2988" i="1"/>
  <c r="A1865" i="1"/>
  <c r="C1865" i="1"/>
  <c r="J1865" i="1"/>
  <c r="A1866" i="1"/>
  <c r="C1866" i="1"/>
  <c r="J1866" i="1"/>
  <c r="A1867" i="1"/>
  <c r="C1867" i="1"/>
  <c r="D1867" i="1"/>
  <c r="J1867" i="1"/>
  <c r="A1868" i="1"/>
  <c r="C1868" i="1"/>
  <c r="J1868" i="1"/>
  <c r="A2989" i="1"/>
  <c r="A1869" i="1"/>
  <c r="C1869" i="1"/>
  <c r="D1869" i="1"/>
  <c r="J1869" i="1"/>
  <c r="A1870" i="1"/>
  <c r="C1870" i="1"/>
  <c r="D1870" i="1"/>
  <c r="J1870" i="1"/>
  <c r="A2990" i="1"/>
  <c r="A1871" i="1"/>
  <c r="C1871" i="1"/>
  <c r="D1871" i="1"/>
  <c r="J1871" i="1"/>
  <c r="A1872" i="1"/>
  <c r="C1872" i="1"/>
  <c r="D1872" i="1"/>
  <c r="J1872" i="1"/>
  <c r="A1873" i="1"/>
  <c r="C1873" i="1"/>
  <c r="D1873" i="1"/>
  <c r="J1873" i="1"/>
  <c r="A1874" i="1"/>
  <c r="C1874" i="1"/>
  <c r="D1874" i="1"/>
  <c r="J1874" i="1"/>
  <c r="A1875" i="1"/>
  <c r="J1875" i="1"/>
  <c r="A1876" i="1"/>
  <c r="C1876" i="1"/>
  <c r="J1876" i="1"/>
  <c r="A2991" i="1"/>
  <c r="A1877" i="1"/>
  <c r="J1877" i="1"/>
  <c r="A1878" i="1"/>
  <c r="C1878" i="1"/>
  <c r="D1878" i="1"/>
  <c r="J1878" i="1"/>
  <c r="A1879" i="1"/>
  <c r="C1879" i="1"/>
  <c r="J1879" i="1"/>
  <c r="A1880" i="1"/>
  <c r="C1880" i="1"/>
  <c r="D1880" i="1"/>
  <c r="J1880" i="1"/>
  <c r="A1881" i="1"/>
  <c r="C1881" i="1"/>
  <c r="J1881" i="1"/>
  <c r="A1882" i="1"/>
  <c r="J1882" i="1"/>
  <c r="A1883" i="1"/>
  <c r="C1883" i="1"/>
  <c r="D1883" i="1"/>
  <c r="J1883" i="1"/>
  <c r="A2992" i="1"/>
  <c r="A1884" i="1"/>
  <c r="C1884" i="1"/>
  <c r="J1884" i="1"/>
  <c r="A2993" i="1"/>
  <c r="A1885" i="1"/>
  <c r="C1885" i="1"/>
  <c r="J1885" i="1"/>
  <c r="A1886" i="1"/>
  <c r="C1886" i="1"/>
  <c r="D1886" i="1"/>
  <c r="J1886" i="1"/>
  <c r="A1887" i="1"/>
  <c r="J1887" i="1"/>
  <c r="A1888" i="1"/>
  <c r="C1888" i="1"/>
  <c r="D1888" i="1"/>
  <c r="J1888" i="1"/>
  <c r="A1889" i="1"/>
  <c r="C1889" i="1"/>
  <c r="D1889" i="1"/>
  <c r="J1889" i="1"/>
  <c r="A2994" i="1"/>
  <c r="A1890" i="1"/>
  <c r="C1890" i="1"/>
  <c r="D1890" i="1"/>
  <c r="J1890" i="1"/>
  <c r="A1891" i="1"/>
  <c r="C1891" i="1"/>
  <c r="J1891" i="1"/>
  <c r="A1892" i="1"/>
  <c r="C1892" i="1"/>
  <c r="J1892" i="1"/>
  <c r="A1893" i="1"/>
  <c r="C1893" i="1"/>
  <c r="D1893" i="1"/>
  <c r="J1893" i="1"/>
  <c r="A1894" i="1"/>
  <c r="C1894" i="1"/>
  <c r="J1894" i="1"/>
  <c r="A1895" i="1"/>
  <c r="C1895" i="1"/>
  <c r="J1895" i="1"/>
  <c r="A1896" i="1"/>
  <c r="C1896" i="1"/>
  <c r="D1896" i="1"/>
  <c r="J1896" i="1"/>
  <c r="A1897" i="1"/>
  <c r="C1897" i="1"/>
  <c r="J1897" i="1"/>
  <c r="A1898" i="1"/>
  <c r="C1898" i="1"/>
  <c r="D1898" i="1"/>
  <c r="J1898" i="1"/>
  <c r="A1899" i="1"/>
  <c r="C1899" i="1"/>
  <c r="J1899" i="1"/>
  <c r="A1900" i="1"/>
  <c r="C1900" i="1"/>
  <c r="D1900" i="1"/>
  <c r="J1900" i="1"/>
  <c r="A1901" i="1"/>
  <c r="C1901" i="1"/>
  <c r="J1901" i="1"/>
  <c r="A1902" i="1"/>
  <c r="C1902" i="1"/>
  <c r="D1902" i="1"/>
  <c r="J1902" i="1"/>
  <c r="A1903" i="1"/>
  <c r="C1903" i="1"/>
  <c r="J1903" i="1"/>
  <c r="A1904" i="1"/>
  <c r="C1904" i="1"/>
  <c r="J1904" i="1"/>
  <c r="A1905" i="1"/>
  <c r="C1905" i="1"/>
  <c r="J1905" i="1"/>
  <c r="A2995" i="1"/>
  <c r="A1906" i="1"/>
  <c r="C1906" i="1"/>
  <c r="J1906" i="1"/>
  <c r="A1907" i="1"/>
  <c r="C1907" i="1"/>
  <c r="D1907" i="1"/>
  <c r="J1907" i="1"/>
  <c r="A1908" i="1"/>
  <c r="C1908" i="1"/>
  <c r="J1908" i="1"/>
  <c r="A1909" i="1"/>
  <c r="C1909" i="1"/>
  <c r="J1909" i="1"/>
  <c r="A1910" i="1"/>
  <c r="C1910" i="1"/>
  <c r="J1910" i="1"/>
  <c r="A1911" i="1"/>
  <c r="C1911" i="1"/>
  <c r="J1911" i="1"/>
  <c r="A1912" i="1"/>
  <c r="C1912" i="1"/>
  <c r="D1912" i="1"/>
  <c r="J1912" i="1"/>
  <c r="A1913" i="1"/>
  <c r="C1913" i="1"/>
  <c r="D1913" i="1"/>
  <c r="J1913" i="1"/>
  <c r="A1914" i="1"/>
  <c r="C1914" i="1"/>
  <c r="J1914" i="1"/>
  <c r="A1915" i="1"/>
  <c r="C1915" i="1"/>
  <c r="J1915" i="1"/>
  <c r="A1916" i="1"/>
  <c r="C1916" i="1"/>
  <c r="J1916" i="1"/>
  <c r="A1917" i="1"/>
  <c r="C1917" i="1"/>
  <c r="J1917" i="1"/>
  <c r="A1918" i="1"/>
  <c r="C1918" i="1"/>
  <c r="D1918" i="1"/>
  <c r="J1918" i="1"/>
  <c r="A1919" i="1"/>
  <c r="C1919" i="1"/>
  <c r="J1919" i="1"/>
  <c r="A1920" i="1"/>
  <c r="C1920" i="1"/>
  <c r="J1920" i="1"/>
  <c r="A1921" i="1"/>
  <c r="C1921" i="1"/>
  <c r="J1921" i="1"/>
  <c r="A1922" i="1"/>
  <c r="C1922" i="1"/>
  <c r="D1922" i="1"/>
  <c r="J1922" i="1"/>
  <c r="A2996" i="1"/>
  <c r="A1923" i="1"/>
  <c r="C1923" i="1"/>
  <c r="D1923" i="1"/>
  <c r="J1923" i="1"/>
  <c r="A1924" i="1"/>
  <c r="C1924" i="1"/>
  <c r="J1924" i="1"/>
  <c r="A1925" i="1"/>
  <c r="C1925" i="1"/>
  <c r="D1925" i="1"/>
  <c r="J1925" i="1"/>
  <c r="A1926" i="1"/>
  <c r="C1926" i="1"/>
  <c r="J1926" i="1"/>
  <c r="A2997" i="1"/>
  <c r="A1927" i="1"/>
  <c r="C1927" i="1"/>
  <c r="J1927" i="1"/>
  <c r="A1928" i="1"/>
  <c r="C1928" i="1"/>
  <c r="D1928" i="1"/>
  <c r="J1928" i="1"/>
  <c r="A1929" i="1"/>
  <c r="C1929" i="1"/>
  <c r="D1929" i="1"/>
  <c r="J1929" i="1"/>
  <c r="A1930" i="1"/>
  <c r="C1930" i="1"/>
  <c r="J1930" i="1"/>
  <c r="A1931" i="1"/>
  <c r="C1931" i="1"/>
  <c r="J1931" i="1"/>
  <c r="A1932" i="1"/>
  <c r="C1932" i="1"/>
  <c r="J1932" i="1"/>
  <c r="A1933" i="1"/>
  <c r="C1933" i="1"/>
  <c r="J1933" i="1"/>
  <c r="A1934" i="1"/>
  <c r="C1934" i="1"/>
  <c r="D1934" i="1"/>
  <c r="J1934" i="1"/>
  <c r="A1935" i="1"/>
  <c r="C1935" i="1"/>
  <c r="J1935" i="1"/>
  <c r="A1936" i="1"/>
  <c r="C1936" i="1"/>
  <c r="J1936" i="1"/>
  <c r="A1937" i="1"/>
  <c r="C1937" i="1"/>
  <c r="J1937" i="1"/>
  <c r="A1938" i="1"/>
  <c r="C1938" i="1"/>
  <c r="J1938" i="1"/>
  <c r="A1939" i="1"/>
  <c r="C1939" i="1"/>
  <c r="D1939" i="1"/>
  <c r="J1939" i="1"/>
  <c r="A1940" i="1"/>
  <c r="C1940" i="1"/>
  <c r="J1940" i="1"/>
  <c r="A1941" i="1"/>
  <c r="C1941" i="1"/>
  <c r="J1941" i="1"/>
  <c r="A1942" i="1"/>
  <c r="C1942" i="1"/>
  <c r="J1942" i="1"/>
  <c r="A1943" i="1"/>
  <c r="C1943" i="1"/>
  <c r="J1943" i="1"/>
  <c r="A1944" i="1"/>
  <c r="C1944" i="1"/>
  <c r="D1944" i="1"/>
  <c r="J1944" i="1"/>
  <c r="A2998" i="1"/>
  <c r="A2999" i="1"/>
  <c r="A1945" i="1"/>
  <c r="C1945" i="1"/>
  <c r="D1945" i="1"/>
  <c r="J1945" i="1"/>
  <c r="A1946" i="1"/>
  <c r="C1946" i="1"/>
  <c r="J1946" i="1"/>
  <c r="A1947" i="1"/>
  <c r="C1947" i="1"/>
  <c r="J1947" i="1"/>
  <c r="A3000" i="1"/>
  <c r="A1948" i="1"/>
  <c r="C1948" i="1"/>
  <c r="J1948" i="1"/>
  <c r="A1949" i="1"/>
  <c r="C1949" i="1"/>
  <c r="D1949" i="1"/>
  <c r="J1949" i="1"/>
  <c r="A1950" i="1"/>
  <c r="C1950" i="1"/>
  <c r="J1950" i="1"/>
  <c r="A1951" i="1"/>
  <c r="C1951" i="1"/>
  <c r="D1951" i="1"/>
  <c r="J1951" i="1"/>
  <c r="A1952" i="1"/>
  <c r="C1952" i="1"/>
  <c r="J1952" i="1"/>
  <c r="A1953" i="1"/>
  <c r="C1953" i="1"/>
  <c r="D1953" i="1"/>
  <c r="J1953" i="1"/>
  <c r="A1954" i="1"/>
  <c r="C1954" i="1"/>
  <c r="J1954" i="1"/>
  <c r="A1955" i="1"/>
  <c r="C1955" i="1"/>
  <c r="J1955" i="1"/>
  <c r="A1956" i="1"/>
  <c r="C1956" i="1"/>
  <c r="J1956" i="1"/>
  <c r="A1957" i="1"/>
  <c r="C1957" i="1"/>
  <c r="D1957" i="1"/>
  <c r="J1957" i="1"/>
  <c r="A1958" i="1"/>
  <c r="C1958" i="1"/>
  <c r="J1958" i="1"/>
  <c r="A3001" i="1"/>
  <c r="A1959" i="1"/>
  <c r="C1959" i="1"/>
  <c r="J1959" i="1"/>
  <c r="A1960" i="1"/>
  <c r="C1960" i="1"/>
  <c r="J1960" i="1"/>
  <c r="A1961" i="1"/>
  <c r="C1961" i="1"/>
  <c r="J1961" i="1"/>
  <c r="A1962" i="1"/>
  <c r="C1962" i="1"/>
  <c r="J1962" i="1"/>
  <c r="A1963" i="1"/>
  <c r="C1963" i="1"/>
  <c r="D1963" i="1"/>
  <c r="J1963" i="1"/>
  <c r="A1964" i="1"/>
  <c r="C1964" i="1"/>
  <c r="J1964" i="1"/>
  <c r="A1965" i="1"/>
  <c r="C1965" i="1"/>
  <c r="J1965" i="1"/>
  <c r="A1966" i="1"/>
  <c r="C1966" i="1"/>
  <c r="J1966" i="1"/>
  <c r="A1967" i="1"/>
  <c r="C1967" i="1"/>
  <c r="D1967" i="1"/>
  <c r="J1967" i="1"/>
  <c r="A1968" i="1"/>
  <c r="C1968" i="1"/>
  <c r="J1968" i="1"/>
  <c r="A1969" i="1"/>
  <c r="C1969" i="1"/>
  <c r="J1969" i="1"/>
  <c r="A1970" i="1"/>
  <c r="C1970" i="1"/>
  <c r="J1970" i="1"/>
  <c r="A1971" i="1"/>
  <c r="C1971" i="1"/>
  <c r="J1971" i="1"/>
  <c r="A1972" i="1"/>
  <c r="C1972" i="1"/>
  <c r="D1972" i="1"/>
  <c r="J1972" i="1"/>
  <c r="A1973" i="1"/>
  <c r="C1973" i="1"/>
  <c r="J1973" i="1"/>
  <c r="A1974" i="1"/>
  <c r="C1974" i="1"/>
  <c r="J1974" i="1"/>
  <c r="A1975" i="1"/>
  <c r="C1975" i="1"/>
  <c r="J1975" i="1"/>
  <c r="A1976" i="1"/>
  <c r="C1976" i="1"/>
  <c r="J1976" i="1"/>
  <c r="A1977" i="1"/>
  <c r="C1977" i="1"/>
  <c r="J1977" i="1"/>
  <c r="A1978" i="1"/>
  <c r="C1978" i="1"/>
  <c r="D1978" i="1"/>
  <c r="J1978" i="1"/>
  <c r="A1979" i="1"/>
  <c r="C1979" i="1"/>
  <c r="D1979" i="1"/>
  <c r="J1979" i="1"/>
  <c r="A1980" i="1"/>
  <c r="C1980" i="1"/>
  <c r="D1980" i="1"/>
  <c r="J1980" i="1"/>
  <c r="A3155" i="1"/>
  <c r="A1981" i="1"/>
  <c r="C1981" i="1"/>
  <c r="D1981" i="1"/>
  <c r="J1981" i="1"/>
  <c r="A1982" i="1"/>
  <c r="C1982" i="1"/>
  <c r="J1982" i="1"/>
  <c r="A1983" i="1"/>
  <c r="C1983" i="1"/>
  <c r="J1983" i="1"/>
  <c r="A1984" i="1"/>
  <c r="C1984" i="1"/>
  <c r="D1984" i="1"/>
  <c r="J1984" i="1"/>
  <c r="A1985" i="1"/>
  <c r="C1985" i="1"/>
  <c r="D1985" i="1"/>
  <c r="J1985" i="1"/>
  <c r="A3002" i="1"/>
  <c r="A1986" i="1"/>
  <c r="C1986" i="1"/>
  <c r="J1986" i="1"/>
  <c r="A1987" i="1"/>
  <c r="C1987" i="1"/>
  <c r="J1987" i="1"/>
  <c r="A3003" i="1"/>
  <c r="A1988" i="1"/>
  <c r="C1988" i="1"/>
  <c r="J1988" i="1"/>
  <c r="A1989" i="1"/>
  <c r="C1989" i="1"/>
  <c r="J1989" i="1"/>
  <c r="A1990" i="1"/>
  <c r="C1990" i="1"/>
  <c r="J1990" i="1"/>
  <c r="A1991" i="1"/>
  <c r="C1991" i="1"/>
  <c r="J1991" i="1"/>
  <c r="A1992" i="1"/>
  <c r="C1992" i="1"/>
  <c r="J1992" i="1"/>
  <c r="A1993" i="1"/>
  <c r="C1993" i="1"/>
  <c r="D1993" i="1"/>
  <c r="J1993" i="1"/>
  <c r="A1994" i="1"/>
  <c r="C1994" i="1"/>
  <c r="J1994" i="1"/>
  <c r="A1995" i="1"/>
  <c r="C1995" i="1"/>
  <c r="J1995" i="1"/>
  <c r="A1996" i="1"/>
  <c r="C1996" i="1"/>
  <c r="D1996" i="1"/>
  <c r="J1996" i="1"/>
  <c r="A1997" i="1"/>
  <c r="C1997" i="1"/>
  <c r="D1997" i="1"/>
  <c r="J1997" i="1"/>
  <c r="A1998" i="1"/>
  <c r="C1998" i="1"/>
  <c r="J1998" i="1"/>
  <c r="A1999" i="1"/>
  <c r="C1999" i="1"/>
  <c r="J1999" i="1"/>
  <c r="A2000" i="1"/>
  <c r="C2000" i="1"/>
  <c r="J2000" i="1"/>
  <c r="A3004" i="1"/>
  <c r="A2001" i="1"/>
  <c r="C2001" i="1"/>
  <c r="J2001" i="1"/>
  <c r="A2002" i="1"/>
  <c r="C2002" i="1"/>
  <c r="J2002" i="1"/>
  <c r="A2003" i="1"/>
  <c r="C2003" i="1"/>
  <c r="D2003" i="1"/>
  <c r="J2003" i="1"/>
  <c r="A2004" i="1"/>
  <c r="C2004" i="1"/>
  <c r="J2004" i="1"/>
  <c r="A3005" i="1"/>
  <c r="A2005" i="1"/>
  <c r="C2005" i="1"/>
  <c r="J2005" i="1"/>
  <c r="A2006" i="1"/>
  <c r="C2006" i="1"/>
  <c r="J2006" i="1"/>
  <c r="A2007" i="1"/>
  <c r="C2007" i="1"/>
  <c r="J2007" i="1"/>
  <c r="A2008" i="1"/>
  <c r="C2008" i="1"/>
  <c r="D2008" i="1"/>
  <c r="J2008" i="1"/>
  <c r="A2009" i="1"/>
  <c r="C2009" i="1"/>
  <c r="J2009" i="1"/>
  <c r="A2010" i="1"/>
  <c r="C2010" i="1"/>
  <c r="D2010" i="1"/>
  <c r="J2010" i="1"/>
  <c r="A2011" i="1"/>
  <c r="C2011" i="1"/>
  <c r="J2011" i="1"/>
  <c r="A2012" i="1"/>
  <c r="C2012" i="1"/>
  <c r="J2012" i="1"/>
  <c r="A2013" i="1"/>
  <c r="C2013" i="1"/>
  <c r="J2013" i="1"/>
  <c r="A2014" i="1"/>
  <c r="C2014" i="1"/>
  <c r="J2014" i="1"/>
  <c r="A2015" i="1"/>
  <c r="C2015" i="1"/>
  <c r="J2015" i="1"/>
  <c r="A2016" i="1"/>
  <c r="C2016" i="1"/>
  <c r="D2016" i="1"/>
  <c r="J2016" i="1"/>
  <c r="A2017" i="1"/>
  <c r="C2017" i="1"/>
  <c r="J2017" i="1"/>
  <c r="A2018" i="1"/>
  <c r="C2018" i="1"/>
  <c r="D2018" i="1"/>
  <c r="J2018" i="1"/>
  <c r="A2019" i="1"/>
  <c r="C2019" i="1"/>
  <c r="J2019" i="1"/>
  <c r="A3006" i="1"/>
  <c r="A2020" i="1"/>
  <c r="C2020" i="1"/>
  <c r="J2020" i="1"/>
  <c r="A3007" i="1"/>
  <c r="A2021" i="1"/>
  <c r="C2021" i="1"/>
  <c r="J2021" i="1"/>
  <c r="A2022" i="1"/>
  <c r="C2022" i="1"/>
  <c r="J2022" i="1"/>
  <c r="A2023" i="1"/>
  <c r="C2023" i="1"/>
  <c r="D2023" i="1"/>
  <c r="J2023" i="1"/>
  <c r="A2024" i="1"/>
  <c r="C2024" i="1"/>
  <c r="J2024" i="1"/>
  <c r="A2025" i="1"/>
  <c r="C2025" i="1"/>
  <c r="J2025" i="1"/>
  <c r="A3008" i="1"/>
  <c r="A2026" i="1"/>
  <c r="C2026" i="1"/>
  <c r="J2026" i="1"/>
  <c r="A2027" i="1"/>
  <c r="C2027" i="1"/>
  <c r="J2027" i="1"/>
  <c r="A2028" i="1"/>
  <c r="C2028" i="1"/>
  <c r="D2028" i="1"/>
  <c r="J2028" i="1"/>
  <c r="A2029" i="1"/>
  <c r="C2029" i="1"/>
  <c r="J2029" i="1"/>
  <c r="A2030" i="1"/>
  <c r="C2030" i="1"/>
  <c r="D2030" i="1"/>
  <c r="J2030" i="1"/>
  <c r="A2031" i="1"/>
  <c r="C2031" i="1"/>
  <c r="J2031" i="1"/>
  <c r="A2032" i="1"/>
  <c r="C2032" i="1"/>
  <c r="J2032" i="1"/>
  <c r="A2033" i="1"/>
  <c r="C2033" i="1"/>
  <c r="D2033" i="1"/>
  <c r="J2033" i="1"/>
  <c r="A2034" i="1"/>
  <c r="C2034" i="1"/>
  <c r="J2034" i="1"/>
  <c r="A2035" i="1"/>
  <c r="C2035" i="1"/>
  <c r="J2035" i="1"/>
  <c r="A2036" i="1"/>
  <c r="C2036" i="1"/>
  <c r="D2036" i="1"/>
  <c r="J2036" i="1"/>
  <c r="A2037" i="1"/>
  <c r="C2037" i="1"/>
  <c r="J2037" i="1"/>
  <c r="A2038" i="1"/>
  <c r="C2038" i="1"/>
  <c r="D2038" i="1"/>
  <c r="J2038" i="1"/>
  <c r="A2039" i="1"/>
  <c r="C2039" i="1"/>
  <c r="D2039" i="1"/>
  <c r="J2039" i="1"/>
  <c r="A2040" i="1"/>
  <c r="C2040" i="1"/>
  <c r="J2040" i="1"/>
  <c r="A2041" i="1"/>
  <c r="C2041" i="1"/>
  <c r="J2041" i="1"/>
  <c r="A2042" i="1"/>
  <c r="C2042" i="1"/>
  <c r="D2042" i="1"/>
  <c r="J2042" i="1"/>
  <c r="A2043" i="1"/>
  <c r="C2043" i="1"/>
  <c r="J2043" i="1"/>
  <c r="A2044" i="1"/>
  <c r="C2044" i="1"/>
  <c r="D2044" i="1"/>
  <c r="J2044" i="1"/>
  <c r="A2045" i="1"/>
  <c r="C2045" i="1"/>
  <c r="D2045" i="1"/>
  <c r="J2045" i="1"/>
  <c r="A2046" i="1"/>
  <c r="C2046" i="1"/>
  <c r="J2046" i="1"/>
  <c r="A2047" i="1"/>
  <c r="C2047" i="1"/>
  <c r="J2047" i="1"/>
  <c r="A2048" i="1"/>
  <c r="C2048" i="1"/>
  <c r="D2048" i="1"/>
  <c r="J2048" i="1"/>
  <c r="A2049" i="1"/>
  <c r="C2049" i="1"/>
  <c r="J2049" i="1"/>
  <c r="A2050" i="1"/>
  <c r="C2050" i="1"/>
  <c r="J2050" i="1"/>
  <c r="A2051" i="1"/>
  <c r="C2051" i="1"/>
  <c r="J2051" i="1"/>
  <c r="A2052" i="1"/>
  <c r="C2052" i="1"/>
  <c r="J2052" i="1"/>
  <c r="A2053" i="1"/>
  <c r="C2053" i="1"/>
  <c r="J2053" i="1"/>
  <c r="A3156" i="1"/>
  <c r="A2054" i="1"/>
  <c r="C2054" i="1"/>
  <c r="J2054" i="1"/>
  <c r="A2055" i="1"/>
  <c r="C2055" i="1"/>
  <c r="J2055" i="1"/>
  <c r="A2056" i="1"/>
  <c r="C2056" i="1"/>
  <c r="J2056" i="1"/>
  <c r="A2057" i="1"/>
  <c r="C2057" i="1"/>
  <c r="J2057" i="1"/>
  <c r="A2058" i="1"/>
  <c r="C2058" i="1"/>
  <c r="D2058" i="1"/>
  <c r="J2058" i="1"/>
  <c r="A2059" i="1"/>
  <c r="C2059" i="1"/>
  <c r="J2059" i="1"/>
  <c r="A2060" i="1"/>
  <c r="C2060" i="1"/>
  <c r="J2060" i="1"/>
  <c r="A2061" i="1"/>
  <c r="C2061" i="1"/>
  <c r="J2061" i="1"/>
  <c r="A2062" i="1"/>
  <c r="C2062" i="1"/>
  <c r="J2062" i="1"/>
  <c r="A2063" i="1"/>
  <c r="C2063" i="1"/>
  <c r="D2063" i="1"/>
  <c r="J2063" i="1"/>
  <c r="A2064" i="1"/>
  <c r="C2064" i="1"/>
  <c r="D2064" i="1"/>
  <c r="J2064" i="1"/>
  <c r="A2065" i="1"/>
  <c r="C2065" i="1"/>
  <c r="D2065" i="1"/>
  <c r="J2065" i="1"/>
  <c r="A2066" i="1"/>
  <c r="C2066" i="1"/>
  <c r="J2066" i="1"/>
  <c r="A3009" i="1"/>
  <c r="A2067" i="1"/>
  <c r="C2067" i="1"/>
  <c r="D2067" i="1"/>
  <c r="J2067" i="1"/>
  <c r="A2068" i="1"/>
  <c r="C2068" i="1"/>
  <c r="D2068" i="1"/>
  <c r="J2068" i="1"/>
  <c r="A2069" i="1"/>
  <c r="C2069" i="1"/>
  <c r="J2069" i="1"/>
  <c r="A2070" i="1"/>
  <c r="C2070" i="1"/>
  <c r="J2070" i="1"/>
  <c r="A2071" i="1"/>
  <c r="C2071" i="1"/>
  <c r="J2071" i="1"/>
  <c r="A2072" i="1"/>
  <c r="C2072" i="1"/>
  <c r="J2072" i="1"/>
  <c r="A2073" i="1"/>
  <c r="C2073" i="1"/>
  <c r="D2073" i="1"/>
  <c r="J2073" i="1"/>
  <c r="A2074" i="1"/>
  <c r="C2074" i="1"/>
  <c r="D2074" i="1"/>
  <c r="J2074" i="1"/>
  <c r="A2075" i="1"/>
  <c r="C2075" i="1"/>
  <c r="D2075" i="1"/>
  <c r="J2075" i="1"/>
  <c r="A2076" i="1"/>
  <c r="C2076" i="1"/>
  <c r="J2076" i="1"/>
  <c r="A2077" i="1"/>
  <c r="C2077" i="1"/>
  <c r="J2077" i="1"/>
  <c r="A2078" i="1"/>
  <c r="C2078" i="1"/>
  <c r="J2078" i="1"/>
  <c r="A2079" i="1"/>
  <c r="C2079" i="1"/>
  <c r="J2079" i="1"/>
  <c r="A2080" i="1"/>
  <c r="C2080" i="1"/>
  <c r="D2080" i="1"/>
  <c r="J2080" i="1"/>
  <c r="A2081" i="1"/>
  <c r="C2081" i="1"/>
  <c r="D2081" i="1"/>
  <c r="J2081" i="1"/>
  <c r="A2082" i="1"/>
  <c r="C2082" i="1"/>
  <c r="J2082" i="1"/>
  <c r="A2083" i="1"/>
  <c r="C2083" i="1"/>
  <c r="J2083" i="1"/>
  <c r="A2084" i="1"/>
  <c r="C2084" i="1"/>
  <c r="J2084" i="1"/>
  <c r="A2085" i="1"/>
  <c r="C2085" i="1"/>
  <c r="J2085" i="1"/>
  <c r="A2086" i="1"/>
  <c r="C2086" i="1"/>
  <c r="J2086" i="1"/>
  <c r="A2087" i="1"/>
  <c r="C2087" i="1"/>
  <c r="J2087" i="1"/>
  <c r="A2088" i="1"/>
  <c r="C2088" i="1"/>
  <c r="J2088" i="1"/>
  <c r="A2089" i="1"/>
  <c r="C2089" i="1"/>
  <c r="J2089" i="1"/>
  <c r="A2090" i="1"/>
  <c r="C2090" i="1"/>
  <c r="J2090" i="1"/>
  <c r="A2091" i="1"/>
  <c r="C2091" i="1"/>
  <c r="J2091" i="1"/>
  <c r="A2092" i="1"/>
  <c r="C2092" i="1"/>
  <c r="J2092" i="1"/>
  <c r="A2093" i="1"/>
  <c r="C2093" i="1"/>
  <c r="D2093" i="1"/>
  <c r="J2093" i="1"/>
  <c r="A2094" i="1"/>
  <c r="C2094" i="1"/>
  <c r="D2094" i="1"/>
  <c r="J2094" i="1"/>
  <c r="A2095" i="1"/>
  <c r="C2095" i="1"/>
  <c r="J2095" i="1"/>
  <c r="A2096" i="1"/>
  <c r="C2096" i="1"/>
  <c r="J2096" i="1"/>
  <c r="A2097" i="1"/>
  <c r="C2097" i="1"/>
  <c r="J2097" i="1"/>
  <c r="A2098" i="1"/>
  <c r="C2098" i="1"/>
  <c r="J2098" i="1"/>
  <c r="A2099" i="1"/>
  <c r="C2099" i="1"/>
  <c r="J2099" i="1"/>
  <c r="A2100" i="1"/>
  <c r="C2100" i="1"/>
  <c r="J2100" i="1"/>
  <c r="A3010" i="1"/>
  <c r="A2101" i="1"/>
  <c r="C2101" i="1"/>
  <c r="D2101" i="1"/>
  <c r="J2101" i="1"/>
  <c r="A2102" i="1"/>
  <c r="C2102" i="1"/>
  <c r="D2102" i="1"/>
  <c r="J2102" i="1"/>
  <c r="A2103" i="1"/>
  <c r="C2103" i="1"/>
  <c r="J2103" i="1"/>
  <c r="A3011" i="1"/>
  <c r="A2104" i="1"/>
  <c r="C2104" i="1"/>
  <c r="J2104" i="1"/>
  <c r="A2105" i="1"/>
  <c r="C2105" i="1"/>
  <c r="J2105" i="1"/>
  <c r="A2106" i="1"/>
  <c r="C2106" i="1"/>
  <c r="J2106" i="1"/>
  <c r="A2107" i="1"/>
  <c r="C2107" i="1"/>
  <c r="D2107" i="1"/>
  <c r="J2107" i="1"/>
  <c r="A2108" i="1"/>
  <c r="C2108" i="1"/>
  <c r="J2108" i="1"/>
  <c r="A2109" i="1"/>
  <c r="C2109" i="1"/>
  <c r="J2109" i="1"/>
  <c r="A2110" i="1"/>
  <c r="C2110" i="1"/>
  <c r="D2110" i="1"/>
  <c r="J2110" i="1"/>
  <c r="A2111" i="1"/>
  <c r="C2111" i="1"/>
  <c r="D2111" i="1"/>
  <c r="J2111" i="1"/>
  <c r="A2112" i="1"/>
  <c r="C2112" i="1"/>
  <c r="J2112" i="1"/>
  <c r="A2113" i="1"/>
  <c r="C2113" i="1"/>
  <c r="D2113" i="1"/>
  <c r="J2113" i="1"/>
  <c r="A2114" i="1"/>
  <c r="C2114" i="1"/>
  <c r="J2114" i="1"/>
  <c r="A2115" i="1"/>
  <c r="C2115" i="1"/>
  <c r="D2115" i="1"/>
  <c r="J2115" i="1"/>
  <c r="A3012" i="1"/>
  <c r="A2116" i="1"/>
  <c r="C2116" i="1"/>
  <c r="J2116" i="1"/>
  <c r="A2117" i="1"/>
  <c r="C2117" i="1"/>
  <c r="D2117" i="1"/>
  <c r="J2117" i="1"/>
  <c r="A2118" i="1"/>
  <c r="C2118" i="1"/>
  <c r="D2118" i="1"/>
  <c r="J2118" i="1"/>
  <c r="A2119" i="1"/>
  <c r="C2119" i="1"/>
  <c r="D2119" i="1"/>
  <c r="J2119" i="1"/>
  <c r="A2120" i="1"/>
  <c r="C2120" i="1"/>
  <c r="J2120" i="1"/>
  <c r="A2121" i="1"/>
  <c r="C2121" i="1"/>
  <c r="D2121" i="1"/>
  <c r="J2121" i="1"/>
  <c r="A2122" i="1"/>
  <c r="C2122" i="1"/>
  <c r="D2122" i="1"/>
  <c r="J2122" i="1"/>
  <c r="A2123" i="1"/>
  <c r="C2123" i="1"/>
  <c r="J2123" i="1"/>
  <c r="A2124" i="1"/>
  <c r="C2124" i="1"/>
  <c r="J2124" i="1"/>
  <c r="A2125" i="1"/>
  <c r="C2125" i="1"/>
  <c r="J2125" i="1"/>
  <c r="A2126" i="1"/>
  <c r="C2126" i="1"/>
  <c r="D2126" i="1"/>
  <c r="J2126" i="1"/>
  <c r="A2127" i="1"/>
  <c r="C2127" i="1"/>
  <c r="J2127" i="1"/>
  <c r="A2128" i="1"/>
  <c r="C2128" i="1"/>
  <c r="J2128" i="1"/>
  <c r="A2129" i="1"/>
  <c r="C2129" i="1"/>
  <c r="J2129" i="1"/>
  <c r="A2130" i="1"/>
  <c r="C2130" i="1"/>
  <c r="J2130" i="1"/>
  <c r="A3013" i="1"/>
  <c r="A2131" i="1"/>
  <c r="C2131" i="1"/>
  <c r="D2131" i="1"/>
  <c r="J2131" i="1"/>
  <c r="A2132" i="1"/>
  <c r="C2132" i="1"/>
  <c r="J2132" i="1"/>
  <c r="A2133" i="1"/>
  <c r="C2133" i="1"/>
  <c r="J2133" i="1"/>
  <c r="A2134" i="1"/>
  <c r="C2134" i="1"/>
  <c r="J2134" i="1"/>
  <c r="A3014" i="1"/>
  <c r="A2135" i="1"/>
  <c r="C2135" i="1"/>
  <c r="J2135" i="1"/>
  <c r="A2136" i="1"/>
  <c r="C2136" i="1"/>
  <c r="J2136" i="1"/>
  <c r="A2137" i="1"/>
  <c r="C2137" i="1"/>
  <c r="D2137" i="1"/>
  <c r="J2137" i="1"/>
  <c r="A2138" i="1"/>
  <c r="C2138" i="1"/>
  <c r="D2138" i="1"/>
  <c r="J2138" i="1"/>
  <c r="A2139" i="1"/>
  <c r="C2139" i="1"/>
  <c r="J2139" i="1"/>
  <c r="A2140" i="1"/>
  <c r="C2140" i="1"/>
  <c r="D2140" i="1"/>
  <c r="J2140" i="1"/>
  <c r="A2141" i="1"/>
  <c r="C2141" i="1"/>
  <c r="J2141" i="1"/>
  <c r="A2142" i="1"/>
  <c r="C2142" i="1"/>
  <c r="D2142" i="1"/>
  <c r="J2142" i="1"/>
  <c r="A2143" i="1"/>
  <c r="C2143" i="1"/>
  <c r="J2143" i="1"/>
  <c r="A2144" i="1"/>
  <c r="C2144" i="1"/>
  <c r="J2144" i="1"/>
  <c r="A2145" i="1"/>
  <c r="C2145" i="1"/>
  <c r="J2145" i="1"/>
  <c r="A2146" i="1"/>
  <c r="C2146" i="1"/>
  <c r="J2146" i="1"/>
  <c r="A2147" i="1"/>
  <c r="C2147" i="1"/>
  <c r="J2147" i="1"/>
  <c r="A2148" i="1"/>
  <c r="C2148" i="1"/>
  <c r="D2148" i="1"/>
  <c r="J2148" i="1"/>
  <c r="A2149" i="1"/>
  <c r="C2149" i="1"/>
  <c r="J2149" i="1"/>
  <c r="A2150" i="1"/>
  <c r="C2150" i="1"/>
  <c r="D2150" i="1"/>
  <c r="J2150" i="1"/>
  <c r="A2151" i="1"/>
  <c r="C2151" i="1"/>
  <c r="J2151" i="1"/>
  <c r="A2152" i="1"/>
  <c r="C2152" i="1"/>
  <c r="J2152" i="1"/>
  <c r="A2153" i="1"/>
  <c r="C2153" i="1"/>
  <c r="J2153" i="1"/>
  <c r="A2154" i="1"/>
  <c r="C2154" i="1"/>
  <c r="J2154" i="1"/>
  <c r="A2155" i="1"/>
  <c r="C2155" i="1"/>
  <c r="J2155" i="1"/>
  <c r="A2156" i="1"/>
  <c r="C2156" i="1"/>
  <c r="J2156" i="1"/>
  <c r="A2157" i="1"/>
  <c r="C2157" i="1"/>
  <c r="J2157" i="1"/>
  <c r="A2158" i="1"/>
  <c r="C2158" i="1"/>
  <c r="D2158" i="1"/>
  <c r="J2158" i="1"/>
  <c r="A2159" i="1"/>
  <c r="C2159" i="1"/>
  <c r="D2159" i="1"/>
  <c r="J2159" i="1"/>
  <c r="A2160" i="1"/>
  <c r="C2160" i="1"/>
  <c r="J2160" i="1"/>
  <c r="A3015" i="1"/>
  <c r="A2161" i="1"/>
  <c r="C2161" i="1"/>
  <c r="D2161" i="1"/>
  <c r="J2161" i="1"/>
  <c r="A2162" i="1"/>
  <c r="C2162" i="1"/>
  <c r="J2162" i="1"/>
  <c r="A2163" i="1"/>
  <c r="C2163" i="1"/>
  <c r="J2163" i="1"/>
  <c r="A3016" i="1"/>
  <c r="A2164" i="1"/>
  <c r="C2164" i="1"/>
  <c r="J2164" i="1"/>
  <c r="A3017" i="1"/>
  <c r="A2165" i="1"/>
  <c r="C2165" i="1"/>
  <c r="J2165" i="1"/>
  <c r="A2166" i="1"/>
  <c r="C2166" i="1"/>
  <c r="J2166" i="1"/>
  <c r="A2167" i="1"/>
  <c r="C2167" i="1"/>
  <c r="J2167" i="1"/>
  <c r="A2168" i="1"/>
  <c r="C2168" i="1"/>
  <c r="J2168" i="1"/>
  <c r="A2169" i="1"/>
  <c r="C2169" i="1"/>
  <c r="J2169" i="1"/>
  <c r="A2170" i="1"/>
  <c r="C2170" i="1"/>
  <c r="J2170" i="1"/>
  <c r="A2171" i="1"/>
  <c r="C2171" i="1"/>
  <c r="J2171" i="1"/>
  <c r="A2172" i="1"/>
  <c r="C2172" i="1"/>
  <c r="J2172" i="1"/>
  <c r="A2173" i="1"/>
  <c r="C2173" i="1"/>
  <c r="J2173" i="1"/>
  <c r="A2174" i="1"/>
  <c r="C2174" i="1"/>
  <c r="D2174" i="1"/>
  <c r="J2174" i="1"/>
  <c r="A2175" i="1"/>
  <c r="C2175" i="1"/>
  <c r="J2175" i="1"/>
  <c r="A2176" i="1"/>
  <c r="C2176" i="1"/>
  <c r="J2176" i="1"/>
  <c r="A2177" i="1"/>
  <c r="C2177" i="1"/>
  <c r="D2177" i="1"/>
  <c r="J2177" i="1"/>
  <c r="A2178" i="1"/>
  <c r="C2178" i="1"/>
  <c r="J2178" i="1"/>
  <c r="A2179" i="1"/>
  <c r="C2179" i="1"/>
  <c r="D2179" i="1"/>
  <c r="J2179" i="1"/>
  <c r="A2180" i="1"/>
  <c r="C2180" i="1"/>
  <c r="D2180" i="1"/>
  <c r="J2180" i="1"/>
  <c r="A2181" i="1"/>
  <c r="C2181" i="1"/>
  <c r="J2181" i="1"/>
  <c r="A2182" i="1"/>
  <c r="C2182" i="1"/>
  <c r="D2182" i="1"/>
  <c r="J2182" i="1"/>
  <c r="A2183" i="1"/>
  <c r="C2183" i="1"/>
  <c r="J2183" i="1"/>
  <c r="A2184" i="1"/>
  <c r="C2184" i="1"/>
  <c r="D2184" i="1"/>
  <c r="J2184" i="1"/>
  <c r="A2185" i="1"/>
  <c r="C2185" i="1"/>
  <c r="J2185" i="1"/>
  <c r="A2186" i="1"/>
  <c r="C2186" i="1"/>
  <c r="J2186" i="1"/>
  <c r="A2187" i="1"/>
  <c r="C2187" i="1"/>
  <c r="J2187" i="1"/>
  <c r="A2188" i="1"/>
  <c r="C2188" i="1"/>
  <c r="J2188" i="1"/>
  <c r="A2189" i="1"/>
  <c r="C2189" i="1"/>
  <c r="J2189" i="1"/>
  <c r="A2190" i="1"/>
  <c r="C2190" i="1"/>
  <c r="J2190" i="1"/>
  <c r="A2191" i="1"/>
  <c r="C2191" i="1"/>
  <c r="J2191" i="1"/>
  <c r="A2192" i="1"/>
  <c r="C2192" i="1"/>
  <c r="J2192" i="1"/>
  <c r="A2193" i="1"/>
  <c r="C2193" i="1"/>
  <c r="J2193" i="1"/>
  <c r="A2194" i="1"/>
  <c r="C2194" i="1"/>
  <c r="J2194" i="1"/>
  <c r="A2195" i="1"/>
  <c r="C2195" i="1"/>
  <c r="J2195" i="1"/>
  <c r="A2196" i="1"/>
  <c r="C2196" i="1"/>
  <c r="J2196" i="1"/>
  <c r="A3018" i="1"/>
  <c r="A2197" i="1"/>
  <c r="C2197" i="1"/>
  <c r="J2197" i="1"/>
  <c r="A3157" i="1"/>
  <c r="A2198" i="1"/>
  <c r="C2198" i="1"/>
  <c r="J2198" i="1"/>
  <c r="A2199" i="1"/>
  <c r="C2199" i="1"/>
  <c r="J2199" i="1"/>
  <c r="A2200" i="1"/>
  <c r="C2200" i="1"/>
  <c r="J2200" i="1"/>
  <c r="A2201" i="1"/>
  <c r="C2201" i="1"/>
  <c r="J2201" i="1"/>
  <c r="A2202" i="1"/>
  <c r="C2202" i="1"/>
  <c r="J2202" i="1"/>
  <c r="A2203" i="1"/>
  <c r="C2203" i="1"/>
  <c r="J2203" i="1"/>
  <c r="A3019" i="1"/>
  <c r="A2204" i="1"/>
  <c r="C2204" i="1"/>
  <c r="D2204" i="1"/>
  <c r="J2204" i="1"/>
  <c r="A3020" i="1"/>
  <c r="A2205" i="1"/>
  <c r="C2205" i="1"/>
  <c r="D2205" i="1"/>
  <c r="J2205" i="1"/>
  <c r="A2206" i="1"/>
  <c r="C2206" i="1"/>
  <c r="J2206" i="1"/>
  <c r="A2207" i="1"/>
  <c r="C2207" i="1"/>
  <c r="J2207" i="1"/>
  <c r="A2208" i="1"/>
  <c r="C2208" i="1"/>
  <c r="J2208" i="1"/>
  <c r="A2209" i="1"/>
  <c r="C2209" i="1"/>
  <c r="J2209" i="1"/>
  <c r="A2210" i="1"/>
  <c r="C2210" i="1"/>
  <c r="J2210" i="1"/>
  <c r="A2211" i="1"/>
  <c r="C2211" i="1"/>
  <c r="J2211" i="1"/>
  <c r="A2212" i="1"/>
  <c r="C2212" i="1"/>
  <c r="J2212" i="1"/>
  <c r="A2213" i="1"/>
  <c r="C2213" i="1"/>
  <c r="D2213" i="1"/>
  <c r="J2213" i="1"/>
  <c r="A2214" i="1"/>
  <c r="C2214" i="1"/>
  <c r="J2214" i="1"/>
  <c r="A2215" i="1"/>
  <c r="C2215" i="1"/>
  <c r="D2215" i="1"/>
  <c r="J2215" i="1"/>
  <c r="A2216" i="1"/>
  <c r="C2216" i="1"/>
  <c r="J2216" i="1"/>
  <c r="A2217" i="1"/>
  <c r="C2217" i="1"/>
  <c r="J2217" i="1"/>
  <c r="A2218" i="1"/>
  <c r="C2218" i="1"/>
  <c r="J2218" i="1"/>
  <c r="A2219" i="1"/>
  <c r="C2219" i="1"/>
  <c r="J2219" i="1"/>
  <c r="A2220" i="1"/>
  <c r="C2220" i="1"/>
  <c r="J2220" i="1"/>
  <c r="A2221" i="1"/>
  <c r="C2221" i="1"/>
  <c r="J2221" i="1"/>
  <c r="A2222" i="1"/>
  <c r="C2222" i="1"/>
  <c r="J2222" i="1"/>
  <c r="A2223" i="1"/>
  <c r="C2223" i="1"/>
  <c r="J2223" i="1"/>
  <c r="A2224" i="1"/>
  <c r="C2224" i="1"/>
  <c r="D2224" i="1"/>
  <c r="J2224" i="1"/>
  <c r="A3021" i="1"/>
  <c r="A2225" i="1"/>
  <c r="C2225" i="1"/>
  <c r="D2225" i="1"/>
  <c r="J2225" i="1"/>
  <c r="A2226" i="1"/>
  <c r="C2226" i="1"/>
  <c r="J2226" i="1"/>
  <c r="A2227" i="1"/>
  <c r="C2227" i="1"/>
  <c r="J2227" i="1"/>
  <c r="A2228" i="1"/>
  <c r="C2228" i="1"/>
  <c r="J2228" i="1"/>
  <c r="A2229" i="1"/>
  <c r="C2229" i="1"/>
  <c r="J2229" i="1"/>
  <c r="A3158" i="1"/>
  <c r="A2230" i="1"/>
  <c r="C2230" i="1"/>
  <c r="J2230" i="1"/>
  <c r="A2231" i="1"/>
  <c r="C2231" i="1"/>
  <c r="J2231" i="1"/>
  <c r="A2232" i="1"/>
  <c r="C2232" i="1"/>
  <c r="D2232" i="1"/>
  <c r="J2232" i="1"/>
  <c r="A2233" i="1"/>
  <c r="C2233" i="1"/>
  <c r="J2233" i="1"/>
  <c r="A3022" i="1"/>
  <c r="A2234" i="1"/>
  <c r="C2234" i="1"/>
  <c r="J2234" i="1"/>
  <c r="A3023" i="1"/>
  <c r="A2235" i="1"/>
  <c r="C2235" i="1"/>
  <c r="J2235" i="1"/>
  <c r="A2236" i="1"/>
  <c r="C2236" i="1"/>
  <c r="D2236" i="1"/>
  <c r="J2236" i="1"/>
  <c r="A3024" i="1"/>
  <c r="A2237" i="1"/>
  <c r="C2237" i="1"/>
  <c r="J2237" i="1"/>
  <c r="A2238" i="1"/>
  <c r="C2238" i="1"/>
  <c r="J2238" i="1"/>
  <c r="A2239" i="1"/>
  <c r="C2239" i="1"/>
  <c r="J2239" i="1"/>
  <c r="A2240" i="1"/>
  <c r="C2240" i="1"/>
  <c r="D2240" i="1"/>
  <c r="J2240" i="1"/>
  <c r="A2241" i="1"/>
  <c r="C2241" i="1"/>
  <c r="J2241" i="1"/>
  <c r="A2242" i="1"/>
  <c r="C2242" i="1"/>
  <c r="J2242" i="1"/>
  <c r="A2243" i="1"/>
  <c r="C2243" i="1"/>
  <c r="J2243" i="1"/>
  <c r="A2244" i="1"/>
  <c r="C2244" i="1"/>
  <c r="D2244" i="1"/>
  <c r="J2244" i="1"/>
  <c r="A2245" i="1"/>
  <c r="C2245" i="1"/>
  <c r="J2245" i="1"/>
  <c r="A2246" i="1"/>
  <c r="C2246" i="1"/>
  <c r="J2246" i="1"/>
  <c r="A2247" i="1"/>
  <c r="C2247" i="1"/>
  <c r="J2247" i="1"/>
  <c r="A3025" i="1"/>
  <c r="A2248" i="1"/>
  <c r="C2248" i="1"/>
  <c r="J2248" i="1"/>
  <c r="A3026" i="1"/>
  <c r="A2249" i="1"/>
  <c r="C2249" i="1"/>
  <c r="J2249" i="1"/>
  <c r="A2250" i="1"/>
  <c r="C2250" i="1"/>
  <c r="J2250" i="1"/>
  <c r="A2251" i="1"/>
  <c r="C2251" i="1"/>
  <c r="D2251" i="1"/>
  <c r="J2251" i="1"/>
  <c r="A2252" i="1"/>
  <c r="C2252" i="1"/>
  <c r="D2252" i="1"/>
  <c r="J2252" i="1"/>
  <c r="A2253" i="1"/>
  <c r="C2253" i="1"/>
  <c r="D2253" i="1"/>
  <c r="J2253" i="1"/>
  <c r="A2254" i="1"/>
  <c r="C2254" i="1"/>
  <c r="J2254" i="1"/>
  <c r="A2255" i="1"/>
  <c r="C2255" i="1"/>
  <c r="J2255" i="1"/>
  <c r="A2256" i="1"/>
  <c r="C2256" i="1"/>
  <c r="J2256" i="1"/>
  <c r="A2257" i="1"/>
  <c r="C2257" i="1"/>
  <c r="J2257" i="1"/>
  <c r="A2258" i="1"/>
  <c r="C2258" i="1"/>
  <c r="J2258" i="1"/>
  <c r="A2259" i="1"/>
  <c r="C2259" i="1"/>
  <c r="J2259" i="1"/>
  <c r="A2260" i="1"/>
  <c r="C2260" i="1"/>
  <c r="J2260" i="1"/>
  <c r="A2261" i="1"/>
  <c r="C2261" i="1"/>
  <c r="J2261" i="1"/>
  <c r="A2262" i="1"/>
  <c r="C2262" i="1"/>
  <c r="J2262" i="1"/>
  <c r="A2263" i="1"/>
  <c r="C2263" i="1"/>
  <c r="J2263" i="1"/>
  <c r="A2264" i="1"/>
  <c r="C2264" i="1"/>
  <c r="D2264" i="1"/>
  <c r="J2264" i="1"/>
  <c r="A2265" i="1"/>
  <c r="C2265" i="1"/>
  <c r="J2265" i="1"/>
  <c r="A2266" i="1"/>
  <c r="C2266" i="1"/>
  <c r="J2266" i="1"/>
  <c r="A2267" i="1"/>
  <c r="C2267" i="1"/>
  <c r="J2267" i="1"/>
  <c r="A2268" i="1"/>
  <c r="C2268" i="1"/>
  <c r="J2268" i="1"/>
  <c r="A2269" i="1"/>
  <c r="C2269" i="1"/>
  <c r="J2269" i="1"/>
  <c r="A2270" i="1"/>
  <c r="C2270" i="1"/>
  <c r="J2270" i="1"/>
  <c r="A2271" i="1"/>
  <c r="C2271" i="1"/>
  <c r="J2271" i="1"/>
  <c r="A2272" i="1"/>
  <c r="C2272" i="1"/>
  <c r="D2272" i="1"/>
  <c r="J2272" i="1"/>
  <c r="A2273" i="1"/>
  <c r="C2273" i="1"/>
  <c r="D2273" i="1"/>
  <c r="J2273" i="1"/>
  <c r="A2274" i="1"/>
  <c r="C2274" i="1"/>
  <c r="D2274" i="1"/>
  <c r="J2274" i="1"/>
  <c r="A2275" i="1"/>
  <c r="C2275" i="1"/>
  <c r="D2275" i="1"/>
  <c r="J2275" i="1"/>
  <c r="A2276" i="1"/>
  <c r="C2276" i="1"/>
  <c r="D2276" i="1"/>
  <c r="J2276" i="1"/>
  <c r="A2277" i="1"/>
  <c r="C2277" i="1"/>
  <c r="J2277" i="1"/>
  <c r="A2278" i="1"/>
  <c r="C2278" i="1"/>
  <c r="J2278" i="1"/>
  <c r="A2279" i="1"/>
  <c r="C2279" i="1"/>
  <c r="D2279" i="1"/>
  <c r="J2279" i="1"/>
  <c r="A2280" i="1"/>
  <c r="C2280" i="1"/>
  <c r="D2280" i="1"/>
  <c r="J2280" i="1"/>
  <c r="A2281" i="1"/>
  <c r="C2281" i="1"/>
  <c r="D2281" i="1"/>
  <c r="J2281" i="1"/>
  <c r="A2282" i="1"/>
  <c r="C2282" i="1"/>
  <c r="J2282" i="1"/>
  <c r="A2283" i="1"/>
  <c r="C2283" i="1"/>
  <c r="J2283" i="1"/>
  <c r="A2284" i="1"/>
  <c r="C2284" i="1"/>
  <c r="J2284" i="1"/>
  <c r="A2285" i="1"/>
  <c r="C2285" i="1"/>
  <c r="D2285" i="1"/>
  <c r="J2285" i="1"/>
  <c r="A2286" i="1"/>
  <c r="C2286" i="1"/>
  <c r="J2286" i="1"/>
  <c r="A2287" i="1"/>
  <c r="C2287" i="1"/>
  <c r="J2287" i="1"/>
  <c r="A2288" i="1"/>
  <c r="C2288" i="1"/>
  <c r="J2288" i="1"/>
  <c r="A2289" i="1"/>
  <c r="C2289" i="1"/>
  <c r="D2289" i="1"/>
  <c r="J2289" i="1"/>
  <c r="A2290" i="1"/>
  <c r="C2290" i="1"/>
  <c r="J2290" i="1"/>
  <c r="A2291" i="1"/>
  <c r="C2291" i="1"/>
  <c r="J2291" i="1"/>
  <c r="A2292" i="1"/>
  <c r="C2292" i="1"/>
  <c r="J2292" i="1"/>
  <c r="A2293" i="1"/>
  <c r="C2293" i="1"/>
  <c r="J2293" i="1"/>
  <c r="A2294" i="1"/>
  <c r="C2294" i="1"/>
  <c r="J2294" i="1"/>
  <c r="A2295" i="1"/>
  <c r="C2295" i="1"/>
  <c r="J2295" i="1"/>
  <c r="A2296" i="1"/>
  <c r="C2296" i="1"/>
  <c r="J2296" i="1"/>
  <c r="A2297" i="1"/>
  <c r="C2297" i="1"/>
  <c r="D2297" i="1"/>
  <c r="J2297" i="1"/>
  <c r="A3027" i="1"/>
  <c r="A2298" i="1"/>
  <c r="C2298" i="1"/>
  <c r="J2298" i="1"/>
  <c r="A2299" i="1"/>
  <c r="C2299" i="1"/>
  <c r="D2299" i="1"/>
  <c r="J2299" i="1"/>
  <c r="A2300" i="1"/>
  <c r="C2300" i="1"/>
  <c r="J2300" i="1"/>
  <c r="A2301" i="1"/>
  <c r="C2301" i="1"/>
  <c r="D2301" i="1"/>
  <c r="J2301" i="1"/>
  <c r="A2302" i="1"/>
  <c r="C2302" i="1"/>
  <c r="J2302" i="1"/>
  <c r="A2303" i="1"/>
  <c r="C2303" i="1"/>
  <c r="J2303" i="1"/>
  <c r="A2304" i="1"/>
  <c r="C2304" i="1"/>
  <c r="J2304" i="1"/>
  <c r="A2305" i="1"/>
  <c r="C2305" i="1"/>
  <c r="J2305" i="1"/>
  <c r="A2306" i="1"/>
  <c r="C2306" i="1"/>
  <c r="J2306" i="1"/>
  <c r="A2307" i="1"/>
  <c r="C2307" i="1"/>
  <c r="D2307" i="1"/>
  <c r="J2307" i="1"/>
  <c r="A2308" i="1"/>
  <c r="C2308" i="1"/>
  <c r="J2308" i="1"/>
  <c r="A2309" i="1"/>
  <c r="C2309" i="1"/>
  <c r="J2309" i="1"/>
  <c r="A2310" i="1"/>
  <c r="C2310" i="1"/>
  <c r="J2310" i="1"/>
  <c r="A2311" i="1"/>
  <c r="C2311" i="1"/>
  <c r="J2311" i="1"/>
  <c r="A2312" i="1"/>
  <c r="C2312" i="1"/>
  <c r="J2312" i="1"/>
  <c r="A2313" i="1"/>
  <c r="C2313" i="1"/>
  <c r="J2313" i="1"/>
  <c r="A2314" i="1"/>
  <c r="C2314" i="1"/>
  <c r="J2314" i="1"/>
  <c r="A2315" i="1"/>
  <c r="C2315" i="1"/>
  <c r="J2315" i="1"/>
  <c r="A2316" i="1"/>
  <c r="J2316" i="1"/>
  <c r="A2317" i="1"/>
  <c r="J2317" i="1"/>
  <c r="A3159" i="1"/>
  <c r="A3160" i="1"/>
  <c r="A2318" i="1"/>
  <c r="C2318" i="1"/>
  <c r="J2318" i="1"/>
  <c r="A2319" i="1"/>
  <c r="C2319" i="1"/>
  <c r="J2319" i="1"/>
  <c r="A2320" i="1"/>
  <c r="C2320" i="1"/>
  <c r="D2320" i="1"/>
  <c r="J2320" i="1"/>
  <c r="A2321" i="1"/>
  <c r="J2321" i="1"/>
  <c r="A3161" i="1"/>
  <c r="A2322" i="1"/>
  <c r="J2322" i="1"/>
  <c r="A2323" i="1"/>
  <c r="C2323" i="1"/>
  <c r="D2323" i="1"/>
  <c r="J2323" i="1"/>
  <c r="A2324" i="1"/>
  <c r="J2324" i="1"/>
  <c r="A2325" i="1"/>
  <c r="J2325" i="1"/>
  <c r="A2326" i="1"/>
  <c r="C2326" i="1"/>
  <c r="J2326" i="1"/>
  <c r="A2327" i="1"/>
  <c r="C2327" i="1"/>
  <c r="J2327" i="1"/>
  <c r="A2328" i="1"/>
  <c r="C2328" i="1"/>
  <c r="D2328" i="1"/>
  <c r="J2328" i="1"/>
  <c r="A2329" i="1"/>
  <c r="C2329" i="1"/>
  <c r="J2329" i="1"/>
  <c r="A2330" i="1"/>
  <c r="C2330" i="1"/>
  <c r="J2330" i="1"/>
  <c r="A2331" i="1"/>
  <c r="J2331" i="1"/>
  <c r="A2332" i="1"/>
  <c r="C2332" i="1"/>
  <c r="D2332" i="1"/>
  <c r="J2332" i="1"/>
  <c r="A2333" i="1"/>
  <c r="J2333" i="1"/>
  <c r="A2334" i="1"/>
  <c r="C2334" i="1"/>
  <c r="J2334" i="1"/>
  <c r="A2335" i="1"/>
  <c r="C2335" i="1"/>
  <c r="J2335" i="1"/>
  <c r="A2336" i="1"/>
  <c r="J2336" i="1"/>
  <c r="A2337" i="1"/>
  <c r="C2337" i="1"/>
  <c r="J2337" i="1"/>
  <c r="A2338" i="1"/>
  <c r="C2338" i="1"/>
  <c r="J2338" i="1"/>
  <c r="A3162" i="1"/>
  <c r="A2339" i="1"/>
  <c r="C2339" i="1"/>
  <c r="J2339" i="1"/>
  <c r="A2340" i="1"/>
  <c r="C2340" i="1"/>
  <c r="J2340" i="1"/>
  <c r="A3028" i="1"/>
  <c r="A3163" i="1"/>
  <c r="A2341" i="1"/>
  <c r="C2341" i="1"/>
  <c r="D2341" i="1"/>
  <c r="J2341" i="1"/>
  <c r="A2342" i="1"/>
  <c r="C2342" i="1"/>
  <c r="J2342" i="1"/>
  <c r="A2343" i="1"/>
  <c r="C2343" i="1"/>
  <c r="J2343" i="1"/>
  <c r="A2344" i="1"/>
  <c r="C2344" i="1"/>
  <c r="D2344" i="1"/>
  <c r="J2344" i="1"/>
  <c r="A2345" i="1"/>
  <c r="C2345" i="1"/>
  <c r="D2345" i="1"/>
  <c r="J2345" i="1"/>
  <c r="A2346" i="1"/>
  <c r="C2346" i="1"/>
  <c r="D2346" i="1"/>
  <c r="J2346" i="1"/>
  <c r="A2347" i="1"/>
  <c r="C2347" i="1"/>
  <c r="J2347" i="1"/>
  <c r="A2348" i="1"/>
  <c r="C2348" i="1"/>
  <c r="J2348" i="1"/>
  <c r="A2349" i="1"/>
  <c r="C2349" i="1"/>
  <c r="J2349" i="1"/>
  <c r="A2350" i="1"/>
  <c r="C2350" i="1"/>
  <c r="J2350" i="1"/>
  <c r="A2351" i="1"/>
  <c r="C2351" i="1"/>
  <c r="J2351" i="1"/>
  <c r="A2352" i="1"/>
  <c r="C2352" i="1"/>
  <c r="D2352" i="1"/>
  <c r="J2352" i="1"/>
  <c r="A2353" i="1"/>
  <c r="C2353" i="1"/>
  <c r="D2353" i="1"/>
  <c r="J2353" i="1"/>
  <c r="A2354" i="1"/>
  <c r="C2354" i="1"/>
  <c r="J2354" i="1"/>
  <c r="A3029" i="1"/>
  <c r="A2355" i="1"/>
  <c r="C2355" i="1"/>
  <c r="J2355" i="1"/>
  <c r="A2356" i="1"/>
  <c r="C2356" i="1"/>
  <c r="J2356" i="1"/>
  <c r="A3030" i="1"/>
  <c r="A2357" i="1"/>
  <c r="C2357" i="1"/>
  <c r="D2357" i="1"/>
  <c r="J2357" i="1"/>
  <c r="A2358" i="1"/>
  <c r="C2358" i="1"/>
  <c r="D2358" i="1"/>
  <c r="J2358" i="1"/>
  <c r="A2359" i="1"/>
  <c r="C2359" i="1"/>
  <c r="D2359" i="1"/>
  <c r="J2359" i="1"/>
  <c r="A2360" i="1"/>
  <c r="C2360" i="1"/>
  <c r="D2360" i="1"/>
  <c r="J2360" i="1"/>
  <c r="A2361" i="1"/>
  <c r="C2361" i="1"/>
  <c r="J2361" i="1"/>
  <c r="A2362" i="1"/>
  <c r="C2362" i="1"/>
  <c r="J2362" i="1"/>
  <c r="A2363" i="1"/>
  <c r="C2363" i="1"/>
  <c r="D2363" i="1"/>
  <c r="J2363" i="1"/>
  <c r="A2364" i="1"/>
  <c r="C2364" i="1"/>
  <c r="J2364" i="1"/>
  <c r="A2365" i="1"/>
  <c r="C2365" i="1"/>
  <c r="J2365" i="1"/>
  <c r="A2366" i="1"/>
  <c r="C2366" i="1"/>
  <c r="D2366" i="1"/>
  <c r="J2366" i="1"/>
  <c r="A2367" i="1"/>
  <c r="C2367" i="1"/>
  <c r="J2367" i="1"/>
  <c r="A2368" i="1"/>
  <c r="C2368" i="1"/>
  <c r="J2368" i="1"/>
  <c r="A2369" i="1"/>
  <c r="C2369" i="1"/>
  <c r="J2369" i="1"/>
  <c r="A2370" i="1"/>
  <c r="C2370" i="1"/>
  <c r="J2370" i="1"/>
  <c r="A3164" i="1"/>
  <c r="A3031" i="1"/>
  <c r="A2371" i="1"/>
  <c r="C2371" i="1"/>
  <c r="J2371" i="1"/>
  <c r="A2372" i="1"/>
  <c r="C2372" i="1"/>
  <c r="J2372" i="1"/>
  <c r="A2373" i="1"/>
  <c r="C2373" i="1"/>
  <c r="J2373" i="1"/>
  <c r="A2374" i="1"/>
  <c r="C2374" i="1"/>
  <c r="D2374" i="1"/>
  <c r="J2374" i="1"/>
  <c r="A2375" i="1"/>
  <c r="C2375" i="1"/>
  <c r="J2375" i="1"/>
  <c r="A2376" i="1"/>
  <c r="C2376" i="1"/>
  <c r="J2376" i="1"/>
  <c r="A2377" i="1"/>
  <c r="C2377" i="1"/>
  <c r="J2377" i="1"/>
  <c r="A2378" i="1"/>
  <c r="C2378" i="1"/>
  <c r="J2378" i="1"/>
  <c r="A2379" i="1"/>
  <c r="C2379" i="1"/>
  <c r="J2379" i="1"/>
  <c r="A2380" i="1"/>
  <c r="C2380" i="1"/>
  <c r="J2380" i="1"/>
  <c r="A2381" i="1"/>
  <c r="C2381" i="1"/>
  <c r="D2381" i="1"/>
  <c r="J2381" i="1"/>
  <c r="A3032" i="1"/>
  <c r="A2382" i="1"/>
  <c r="C2382" i="1"/>
  <c r="J2382" i="1"/>
  <c r="A2383" i="1"/>
  <c r="C2383" i="1"/>
  <c r="J2383" i="1"/>
  <c r="A2384" i="1"/>
  <c r="C2384" i="1"/>
  <c r="D2384" i="1"/>
  <c r="J2384" i="1"/>
  <c r="A2385" i="1"/>
  <c r="C2385" i="1"/>
  <c r="J2385" i="1"/>
  <c r="A2386" i="1"/>
  <c r="C2386" i="1"/>
  <c r="J2386" i="1"/>
  <c r="A2387" i="1"/>
  <c r="C2387" i="1"/>
  <c r="D2387" i="1"/>
  <c r="J2387" i="1"/>
  <c r="A2388" i="1"/>
  <c r="C2388" i="1"/>
  <c r="D2388" i="1"/>
  <c r="J2388" i="1"/>
  <c r="A2389" i="1"/>
  <c r="C2389" i="1"/>
  <c r="J2389" i="1"/>
  <c r="A2390" i="1"/>
  <c r="C2390" i="1"/>
  <c r="J2390" i="1"/>
  <c r="A2391" i="1"/>
  <c r="C2391" i="1"/>
  <c r="J2391" i="1"/>
  <c r="A2392" i="1"/>
  <c r="C2392" i="1"/>
  <c r="J2392" i="1"/>
  <c r="A2393" i="1"/>
  <c r="C2393" i="1"/>
  <c r="D2393" i="1"/>
  <c r="J2393" i="1"/>
  <c r="A2394" i="1"/>
  <c r="C2394" i="1"/>
  <c r="D2394" i="1"/>
  <c r="J2394" i="1"/>
  <c r="A2395" i="1"/>
  <c r="C2395" i="1"/>
  <c r="J2395" i="1"/>
  <c r="A2396" i="1"/>
  <c r="C2396" i="1"/>
  <c r="J2396" i="1"/>
  <c r="A2397" i="1"/>
  <c r="C2397" i="1"/>
  <c r="J2397" i="1"/>
  <c r="A2398" i="1"/>
  <c r="C2398" i="1"/>
  <c r="D2398" i="1"/>
  <c r="J2398" i="1"/>
  <c r="A2399" i="1"/>
  <c r="C2399" i="1"/>
  <c r="D2399" i="1"/>
  <c r="J2399" i="1"/>
  <c r="A3033" i="1"/>
  <c r="A2400" i="1"/>
  <c r="C2400" i="1"/>
  <c r="J2400" i="1"/>
  <c r="A2401" i="1"/>
  <c r="C2401" i="1"/>
  <c r="D2401" i="1"/>
  <c r="J2401" i="1"/>
  <c r="A2402" i="1"/>
  <c r="C2402" i="1"/>
  <c r="D2402" i="1"/>
  <c r="J2402" i="1"/>
  <c r="A2403" i="1"/>
  <c r="C2403" i="1"/>
  <c r="D2403" i="1"/>
  <c r="J2403" i="1"/>
  <c r="A2404" i="1"/>
  <c r="C2404" i="1"/>
  <c r="D2404" i="1"/>
  <c r="J2404" i="1"/>
  <c r="A3034" i="1"/>
  <c r="A2405" i="1"/>
  <c r="C2405" i="1"/>
  <c r="J2405" i="1"/>
  <c r="A2406" i="1"/>
  <c r="C2406" i="1"/>
  <c r="J2406" i="1"/>
  <c r="A2407" i="1"/>
  <c r="C2407" i="1"/>
  <c r="D2407" i="1"/>
  <c r="J2407" i="1"/>
  <c r="A2408" i="1"/>
  <c r="C2408" i="1"/>
  <c r="J2408" i="1"/>
  <c r="A2409" i="1"/>
  <c r="C2409" i="1"/>
  <c r="J2409" i="1"/>
  <c r="A3035" i="1"/>
  <c r="A2410" i="1"/>
  <c r="C2410" i="1"/>
  <c r="J2410" i="1"/>
  <c r="A2411" i="1"/>
  <c r="C2411" i="1"/>
  <c r="J2411" i="1"/>
  <c r="A2412" i="1"/>
  <c r="C2412" i="1"/>
  <c r="J2412" i="1"/>
  <c r="A2413" i="1"/>
  <c r="C2413" i="1"/>
  <c r="J2413" i="1"/>
  <c r="A2414" i="1"/>
  <c r="C2414" i="1"/>
  <c r="D2414" i="1"/>
  <c r="J2414" i="1"/>
  <c r="A2415" i="1"/>
  <c r="C2415" i="1"/>
  <c r="J2415" i="1"/>
  <c r="A2416" i="1"/>
  <c r="C2416" i="1"/>
  <c r="J2416" i="1"/>
  <c r="A2417" i="1"/>
  <c r="C2417" i="1"/>
  <c r="D2417" i="1"/>
  <c r="J2417" i="1"/>
  <c r="A3036" i="1"/>
  <c r="A2418" i="1"/>
  <c r="C2418" i="1"/>
  <c r="J2418" i="1"/>
  <c r="A2419" i="1"/>
  <c r="C2419" i="1"/>
  <c r="J2419" i="1"/>
  <c r="A2420" i="1"/>
  <c r="C2420" i="1"/>
  <c r="D2420" i="1"/>
  <c r="J2420" i="1"/>
  <c r="A2421" i="1"/>
  <c r="C2421" i="1"/>
  <c r="J2421" i="1"/>
  <c r="A3037" i="1"/>
  <c r="A2422" i="1"/>
  <c r="C2422" i="1"/>
  <c r="J2422" i="1"/>
  <c r="A2423" i="1"/>
  <c r="C2423" i="1"/>
  <c r="J2423" i="1"/>
  <c r="A2424" i="1"/>
  <c r="C2424" i="1"/>
  <c r="J2424" i="1"/>
  <c r="A2425" i="1"/>
  <c r="C2425" i="1"/>
  <c r="D2425" i="1"/>
  <c r="J2425" i="1"/>
  <c r="A2426" i="1"/>
  <c r="C2426" i="1"/>
  <c r="J2426" i="1"/>
  <c r="A2427" i="1"/>
  <c r="C2427" i="1"/>
  <c r="D2427" i="1"/>
  <c r="J2427" i="1"/>
  <c r="A2428" i="1"/>
  <c r="C2428" i="1"/>
  <c r="J2428" i="1"/>
  <c r="A2429" i="1"/>
  <c r="C2429" i="1"/>
  <c r="J2429" i="1"/>
  <c r="A2430" i="1"/>
  <c r="C2430" i="1"/>
  <c r="D2430" i="1"/>
  <c r="J2430" i="1"/>
  <c r="A2431" i="1"/>
  <c r="C2431" i="1"/>
  <c r="D2431" i="1"/>
  <c r="J2431" i="1"/>
  <c r="A2432" i="1"/>
  <c r="C2432" i="1"/>
  <c r="J2432" i="1"/>
  <c r="A2433" i="1"/>
  <c r="C2433" i="1"/>
  <c r="J2433" i="1"/>
  <c r="A2434" i="1"/>
  <c r="C2434" i="1"/>
  <c r="J2434" i="1"/>
  <c r="A2435" i="1"/>
  <c r="C2435" i="1"/>
  <c r="D2435" i="1"/>
  <c r="J2435" i="1"/>
  <c r="A2436" i="1"/>
  <c r="C2436" i="1"/>
  <c r="J2436" i="1"/>
  <c r="A2437" i="1"/>
  <c r="C2437" i="1"/>
  <c r="D2437" i="1"/>
  <c r="J2437" i="1"/>
  <c r="A2438" i="1"/>
  <c r="C2438" i="1"/>
  <c r="J2438" i="1"/>
  <c r="A2439" i="1"/>
  <c r="C2439" i="1"/>
  <c r="J2439" i="1"/>
  <c r="A2440" i="1"/>
  <c r="C2440" i="1"/>
  <c r="J2440" i="1"/>
  <c r="A2441" i="1"/>
  <c r="C2441" i="1"/>
  <c r="J2441" i="1"/>
  <c r="A2442" i="1"/>
  <c r="C2442" i="1"/>
  <c r="J2442" i="1"/>
  <c r="A2443" i="1"/>
  <c r="C2443" i="1"/>
  <c r="J2443" i="1"/>
  <c r="A3038" i="1"/>
  <c r="A2444" i="1"/>
  <c r="C2444" i="1"/>
  <c r="D2444" i="1"/>
  <c r="J2444" i="1"/>
  <c r="A2445" i="1"/>
  <c r="C2445" i="1"/>
  <c r="D2445" i="1"/>
  <c r="J2445" i="1"/>
  <c r="A2446" i="1"/>
  <c r="C2446" i="1"/>
  <c r="J2446" i="1"/>
  <c r="A2447" i="1"/>
  <c r="C2447" i="1"/>
  <c r="J2447" i="1"/>
  <c r="A2448" i="1"/>
  <c r="C2448" i="1"/>
  <c r="D2448" i="1"/>
  <c r="J2448" i="1"/>
  <c r="A2449" i="1"/>
  <c r="C2449" i="1"/>
  <c r="J2449" i="1"/>
  <c r="A2450" i="1"/>
  <c r="C2450" i="1"/>
  <c r="J2450" i="1"/>
  <c r="A2451" i="1"/>
  <c r="C2451" i="1"/>
  <c r="D2451" i="1"/>
  <c r="J2451" i="1"/>
  <c r="A2452" i="1"/>
  <c r="C2452" i="1"/>
  <c r="D2452" i="1"/>
  <c r="J2452" i="1"/>
  <c r="A2453" i="1"/>
  <c r="C2453" i="1"/>
  <c r="D2453" i="1"/>
  <c r="J2453" i="1"/>
  <c r="A2454" i="1"/>
  <c r="C2454" i="1"/>
  <c r="J2454" i="1"/>
  <c r="A2455" i="1"/>
  <c r="C2455" i="1"/>
  <c r="J2455" i="1"/>
  <c r="A2456" i="1"/>
  <c r="C2456" i="1"/>
  <c r="D2456" i="1"/>
  <c r="J2456" i="1"/>
  <c r="A2457" i="1"/>
  <c r="C2457" i="1"/>
  <c r="J2457" i="1"/>
  <c r="A2458" i="1"/>
  <c r="C2458" i="1"/>
  <c r="J2458" i="1"/>
  <c r="A2459" i="1"/>
  <c r="C2459" i="1"/>
  <c r="J2459" i="1"/>
  <c r="A2460" i="1"/>
  <c r="C2460" i="1"/>
  <c r="J2460" i="1"/>
  <c r="A2461" i="1"/>
  <c r="C2461" i="1"/>
  <c r="J2461" i="1"/>
  <c r="A3039" i="1"/>
  <c r="A3040" i="1"/>
  <c r="A2462" i="1"/>
  <c r="C2462" i="1"/>
  <c r="J2462" i="1"/>
  <c r="A3041" i="1"/>
  <c r="A2463" i="1"/>
  <c r="C2463" i="1"/>
  <c r="J2463" i="1"/>
  <c r="A2464" i="1"/>
  <c r="C2464" i="1"/>
  <c r="J2464" i="1"/>
  <c r="A2465" i="1"/>
  <c r="C2465" i="1"/>
  <c r="J2465" i="1"/>
  <c r="A3042" i="1"/>
  <c r="A2466" i="1"/>
  <c r="C2466" i="1"/>
  <c r="D2466" i="1"/>
  <c r="J2466" i="1"/>
  <c r="A2467" i="1"/>
  <c r="C2467" i="1"/>
  <c r="D2467" i="1"/>
  <c r="J2467" i="1"/>
  <c r="A2468" i="1"/>
  <c r="C2468" i="1"/>
  <c r="D2468" i="1"/>
  <c r="J2468" i="1"/>
  <c r="A2469" i="1"/>
  <c r="C2469" i="1"/>
  <c r="D2469" i="1"/>
  <c r="J2469" i="1"/>
  <c r="A2470" i="1"/>
  <c r="C2470" i="1"/>
  <c r="J2470" i="1"/>
  <c r="A2471" i="1"/>
  <c r="C2471" i="1"/>
  <c r="D2471" i="1"/>
  <c r="J2471" i="1"/>
  <c r="A2472" i="1"/>
  <c r="C2472" i="1"/>
  <c r="J2472" i="1"/>
  <c r="A2473" i="1"/>
  <c r="C2473" i="1"/>
  <c r="J2473" i="1"/>
  <c r="A2474" i="1"/>
  <c r="C2474" i="1"/>
  <c r="J2474" i="1"/>
  <c r="A2475" i="1"/>
  <c r="C2475" i="1"/>
  <c r="J2475" i="1"/>
  <c r="A2476" i="1"/>
  <c r="C2476" i="1"/>
  <c r="J2476" i="1"/>
  <c r="A2477" i="1"/>
  <c r="C2477" i="1"/>
  <c r="J2477" i="1"/>
  <c r="A2478" i="1"/>
  <c r="C2478" i="1"/>
  <c r="J2478" i="1"/>
  <c r="A2479" i="1"/>
  <c r="C2479" i="1"/>
  <c r="J2479" i="1"/>
  <c r="A2480" i="1"/>
  <c r="C2480" i="1"/>
  <c r="J2480" i="1"/>
  <c r="A2481" i="1"/>
  <c r="C2481" i="1"/>
  <c r="J2481" i="1"/>
  <c r="A2482" i="1"/>
  <c r="C2482" i="1"/>
  <c r="J2482" i="1"/>
  <c r="A2483" i="1"/>
  <c r="C2483" i="1"/>
  <c r="J2483" i="1"/>
  <c r="A2484" i="1"/>
  <c r="C2484" i="1"/>
  <c r="J2484" i="1"/>
  <c r="A2485" i="1"/>
  <c r="C2485" i="1"/>
  <c r="J2485" i="1"/>
  <c r="A2486" i="1"/>
  <c r="C2486" i="1"/>
  <c r="J2486" i="1"/>
  <c r="A2487" i="1"/>
  <c r="C2487" i="1"/>
  <c r="J2487" i="1"/>
  <c r="A2488" i="1"/>
  <c r="C2488" i="1"/>
  <c r="J2488" i="1"/>
  <c r="A2489" i="1"/>
  <c r="C2489" i="1"/>
  <c r="D2489" i="1"/>
  <c r="J2489" i="1"/>
  <c r="A2490" i="1"/>
  <c r="C2490" i="1"/>
  <c r="J2490" i="1"/>
  <c r="A2491" i="1"/>
  <c r="C2491" i="1"/>
  <c r="J2491" i="1"/>
  <c r="A2492" i="1"/>
  <c r="C2492" i="1"/>
  <c r="J2492" i="1"/>
  <c r="A2493" i="1"/>
  <c r="C2493" i="1"/>
  <c r="J2493" i="1"/>
  <c r="A3165" i="1"/>
  <c r="A2494" i="1"/>
  <c r="C2494" i="1"/>
  <c r="D2494" i="1"/>
  <c r="J2494" i="1"/>
  <c r="A2495" i="1"/>
  <c r="C2495" i="1"/>
  <c r="J2495" i="1"/>
  <c r="A2496" i="1"/>
  <c r="C2496" i="1"/>
  <c r="D2496" i="1"/>
  <c r="J2496" i="1"/>
  <c r="A2497" i="1"/>
  <c r="C2497" i="1"/>
  <c r="J2497" i="1"/>
  <c r="A2498" i="1"/>
  <c r="C2498" i="1"/>
  <c r="J2498" i="1"/>
  <c r="A2499" i="1"/>
  <c r="C2499" i="1"/>
  <c r="J2499" i="1"/>
  <c r="A2500" i="1"/>
  <c r="C2500" i="1"/>
  <c r="J2500" i="1"/>
  <c r="A2501" i="1"/>
  <c r="C2501" i="1"/>
  <c r="D2501" i="1"/>
  <c r="J2501" i="1"/>
  <c r="A2502" i="1"/>
  <c r="C2502" i="1"/>
  <c r="D2502" i="1"/>
  <c r="J2502" i="1"/>
  <c r="A2503" i="1"/>
  <c r="C2503" i="1"/>
  <c r="J2503" i="1"/>
  <c r="A3043" i="1"/>
  <c r="A2504" i="1"/>
  <c r="C2504" i="1"/>
  <c r="J2504" i="1"/>
  <c r="A2505" i="1"/>
  <c r="C2505" i="1"/>
  <c r="J2505" i="1"/>
  <c r="A2506" i="1"/>
  <c r="C2506" i="1"/>
  <c r="J2506" i="1"/>
  <c r="A2507" i="1"/>
  <c r="C2507" i="1"/>
  <c r="J2507" i="1"/>
  <c r="A3044" i="1"/>
  <c r="A2508" i="1"/>
  <c r="C2508" i="1"/>
  <c r="J2508" i="1"/>
  <c r="A2509" i="1"/>
  <c r="C2509" i="1"/>
  <c r="D2509" i="1"/>
  <c r="J2509" i="1"/>
  <c r="A2510" i="1"/>
  <c r="C2510" i="1"/>
  <c r="D2510" i="1"/>
  <c r="J2510" i="1"/>
  <c r="A2511" i="1"/>
  <c r="C2511" i="1"/>
  <c r="D2511" i="1"/>
  <c r="J2511" i="1"/>
  <c r="A3045" i="1"/>
  <c r="A2512" i="1"/>
  <c r="C2512" i="1"/>
  <c r="D2512" i="1"/>
  <c r="J2512" i="1"/>
  <c r="A2513" i="1"/>
  <c r="C2513" i="1"/>
  <c r="J2513" i="1"/>
  <c r="A2514" i="1"/>
  <c r="C2514" i="1"/>
  <c r="J2514" i="1"/>
  <c r="A2515" i="1"/>
  <c r="C2515" i="1"/>
  <c r="D2515" i="1"/>
  <c r="J2515" i="1"/>
  <c r="A2516" i="1"/>
  <c r="C2516" i="1"/>
  <c r="D2516" i="1"/>
  <c r="J2516" i="1"/>
  <c r="A3046" i="1"/>
  <c r="A2517" i="1"/>
  <c r="C2517" i="1"/>
  <c r="J2517" i="1"/>
  <c r="A2518" i="1"/>
  <c r="C2518" i="1"/>
  <c r="J2518" i="1"/>
  <c r="A2519" i="1"/>
  <c r="C2519" i="1"/>
  <c r="J2519" i="1"/>
  <c r="A3047" i="1"/>
  <c r="A2520" i="1"/>
  <c r="C2520" i="1"/>
  <c r="J2520" i="1"/>
  <c r="A2521" i="1"/>
  <c r="C2521" i="1"/>
  <c r="J2521" i="1"/>
  <c r="A2522" i="1"/>
  <c r="C2522" i="1"/>
  <c r="J2522" i="1"/>
  <c r="A2523" i="1"/>
  <c r="C2523" i="1"/>
  <c r="J2523" i="1"/>
  <c r="A3048" i="1"/>
  <c r="A2524" i="1"/>
  <c r="C2524" i="1"/>
  <c r="J2524" i="1"/>
  <c r="A2525" i="1"/>
  <c r="C2525" i="1"/>
  <c r="D2525" i="1"/>
  <c r="J2525" i="1"/>
  <c r="A2526" i="1"/>
  <c r="C2526" i="1"/>
  <c r="J2526" i="1"/>
  <c r="A2527" i="1"/>
  <c r="C2527" i="1"/>
  <c r="J2527" i="1"/>
  <c r="A2528" i="1"/>
  <c r="C2528" i="1"/>
  <c r="D2528" i="1"/>
  <c r="J2528" i="1"/>
  <c r="A2529" i="1"/>
  <c r="C2529" i="1"/>
  <c r="D2529" i="1"/>
  <c r="J2529" i="1"/>
  <c r="A2530" i="1"/>
  <c r="C2530" i="1"/>
  <c r="J2530" i="1"/>
  <c r="A2531" i="1"/>
  <c r="C2531" i="1"/>
  <c r="J2531" i="1"/>
  <c r="A2532" i="1"/>
  <c r="C2532" i="1"/>
  <c r="J2532" i="1"/>
  <c r="A2533" i="1"/>
  <c r="C2533" i="1"/>
  <c r="D2533" i="1"/>
  <c r="J2533" i="1"/>
  <c r="A2534" i="1"/>
  <c r="C2534" i="1"/>
  <c r="J2534" i="1"/>
  <c r="A3166" i="1"/>
  <c r="A2535" i="1"/>
  <c r="C2535" i="1"/>
  <c r="D2535" i="1"/>
  <c r="J2535" i="1"/>
  <c r="A2536" i="1"/>
  <c r="C2536" i="1"/>
  <c r="J2536" i="1"/>
  <c r="A2537" i="1"/>
  <c r="C2537" i="1"/>
  <c r="J2537" i="1"/>
  <c r="A2538" i="1"/>
  <c r="C2538" i="1"/>
  <c r="J2538" i="1"/>
  <c r="A2539" i="1"/>
  <c r="C2539" i="1"/>
  <c r="J2539" i="1"/>
  <c r="A2540" i="1"/>
  <c r="C2540" i="1"/>
  <c r="J2540" i="1"/>
  <c r="A2541" i="1"/>
  <c r="C2541" i="1"/>
  <c r="J2541" i="1"/>
  <c r="A2542" i="1"/>
  <c r="C2542" i="1"/>
  <c r="J2542" i="1"/>
  <c r="A3049" i="1"/>
  <c r="A2543" i="1"/>
  <c r="C2543" i="1"/>
  <c r="J2543" i="1"/>
  <c r="A2544" i="1"/>
  <c r="C2544" i="1"/>
  <c r="D2544" i="1"/>
  <c r="J2544" i="1"/>
  <c r="A2545" i="1"/>
  <c r="C2545" i="1"/>
  <c r="J2545" i="1"/>
  <c r="A2546" i="1"/>
  <c r="C2546" i="1"/>
  <c r="J2546" i="1"/>
  <c r="A2547" i="1"/>
  <c r="C2547" i="1"/>
  <c r="J2547" i="1"/>
  <c r="A2548" i="1"/>
  <c r="C2548" i="1"/>
  <c r="D2548" i="1"/>
  <c r="J2548" i="1"/>
  <c r="A2549" i="1"/>
  <c r="C2549" i="1"/>
  <c r="J2549" i="1"/>
  <c r="A2550" i="1"/>
  <c r="C2550" i="1"/>
  <c r="J2550" i="1"/>
  <c r="A2551" i="1"/>
  <c r="C2551" i="1"/>
  <c r="J2551" i="1"/>
  <c r="A2552" i="1"/>
  <c r="C2552" i="1"/>
  <c r="D2552" i="1"/>
  <c r="J2552" i="1"/>
  <c r="A3050" i="1"/>
  <c r="A2553" i="1"/>
  <c r="C2553" i="1"/>
  <c r="J2553" i="1"/>
  <c r="A2554" i="1"/>
  <c r="C2554" i="1"/>
  <c r="J2554" i="1"/>
  <c r="A2555" i="1"/>
  <c r="C2555" i="1"/>
  <c r="J2555" i="1"/>
  <c r="A2556" i="1"/>
  <c r="C2556" i="1"/>
  <c r="J2556" i="1"/>
  <c r="A2557" i="1"/>
  <c r="C2557" i="1"/>
  <c r="D2557" i="1"/>
  <c r="J2557" i="1"/>
  <c r="A2558" i="1"/>
  <c r="C2558" i="1"/>
  <c r="J2558" i="1"/>
  <c r="A2559" i="1"/>
  <c r="C2559" i="1"/>
  <c r="J2559" i="1"/>
  <c r="A2560" i="1"/>
  <c r="C2560" i="1"/>
  <c r="J2560" i="1"/>
  <c r="A2561" i="1"/>
  <c r="C2561" i="1"/>
  <c r="J2561" i="1"/>
  <c r="A3051" i="1"/>
  <c r="A2562" i="1"/>
  <c r="C2562" i="1"/>
  <c r="J2562" i="1"/>
  <c r="A2563" i="1"/>
  <c r="C2563" i="1"/>
  <c r="J2563" i="1"/>
  <c r="A2564" i="1"/>
  <c r="C2564" i="1"/>
  <c r="J2564" i="1"/>
  <c r="A3052" i="1"/>
  <c r="A2565" i="1"/>
  <c r="C2565" i="1"/>
  <c r="J2565" i="1"/>
  <c r="A2566" i="1"/>
  <c r="C2566" i="1"/>
  <c r="J2566" i="1"/>
  <c r="A2567" i="1"/>
  <c r="C2567" i="1"/>
  <c r="J2567" i="1"/>
  <c r="A2568" i="1"/>
  <c r="C2568" i="1"/>
  <c r="J2568" i="1"/>
  <c r="A2569" i="1"/>
  <c r="C2569" i="1"/>
  <c r="J2569" i="1"/>
  <c r="A2570" i="1"/>
  <c r="C2570" i="1"/>
  <c r="D2570" i="1"/>
  <c r="J2570" i="1"/>
  <c r="A2571" i="1"/>
  <c r="C2571" i="1"/>
  <c r="J2571" i="1"/>
  <c r="A2572" i="1"/>
  <c r="C2572" i="1"/>
  <c r="D2572" i="1"/>
  <c r="J2572" i="1"/>
  <c r="A2573" i="1"/>
  <c r="C2573" i="1"/>
  <c r="D2573" i="1"/>
  <c r="J2573" i="1"/>
  <c r="A2574" i="1"/>
  <c r="C2574" i="1"/>
  <c r="D2574" i="1"/>
  <c r="J2574" i="1"/>
  <c r="A2575" i="1"/>
  <c r="C2575" i="1"/>
  <c r="D2575" i="1"/>
  <c r="J2575" i="1"/>
  <c r="A2576" i="1"/>
  <c r="C2576" i="1"/>
  <c r="J2576" i="1"/>
  <c r="A2577" i="1"/>
  <c r="C2577" i="1"/>
  <c r="D2577" i="1"/>
  <c r="J2577" i="1"/>
  <c r="A2578" i="1"/>
  <c r="C2578" i="1"/>
  <c r="J2578" i="1"/>
  <c r="A2579" i="1"/>
  <c r="C2579" i="1"/>
  <c r="D2579" i="1"/>
  <c r="J2579" i="1"/>
  <c r="A2580" i="1"/>
  <c r="C2580" i="1"/>
  <c r="J2580" i="1"/>
  <c r="A2581" i="1"/>
  <c r="C2581" i="1"/>
  <c r="J2581" i="1"/>
  <c r="A2582" i="1"/>
  <c r="C2582" i="1"/>
  <c r="J2582" i="1"/>
  <c r="A2583" i="1"/>
  <c r="C2583" i="1"/>
  <c r="J2583" i="1"/>
  <c r="A2584" i="1"/>
  <c r="C2584" i="1"/>
  <c r="D2584" i="1"/>
  <c r="J2584" i="1"/>
  <c r="A2585" i="1"/>
  <c r="C2585" i="1"/>
  <c r="J2585" i="1"/>
  <c r="A2586" i="1"/>
  <c r="C2586" i="1"/>
  <c r="J2586" i="1"/>
  <c r="A2587" i="1"/>
  <c r="C2587" i="1"/>
  <c r="J2587" i="1"/>
  <c r="A2588" i="1"/>
  <c r="C2588" i="1"/>
  <c r="J2588" i="1"/>
  <c r="A2589" i="1"/>
  <c r="J2589" i="1"/>
  <c r="A2590" i="1"/>
  <c r="C2590" i="1"/>
  <c r="D2590" i="1"/>
  <c r="J2590" i="1"/>
  <c r="A2591" i="1"/>
  <c r="C2591" i="1"/>
  <c r="J2591" i="1"/>
  <c r="A2592" i="1"/>
  <c r="C2592" i="1"/>
  <c r="J2592" i="1"/>
  <c r="A2593" i="1"/>
  <c r="C2593" i="1"/>
  <c r="D2593" i="1"/>
  <c r="J2593" i="1"/>
  <c r="A2594" i="1"/>
  <c r="C2594" i="1"/>
  <c r="J2594" i="1"/>
  <c r="A2595" i="1"/>
  <c r="C2595" i="1"/>
  <c r="J2595" i="1"/>
  <c r="A2596" i="1"/>
  <c r="C2596" i="1"/>
  <c r="D2596" i="1"/>
  <c r="J2596" i="1"/>
  <c r="A2597" i="1"/>
  <c r="C2597" i="1"/>
  <c r="D2597" i="1"/>
  <c r="J2597" i="1"/>
  <c r="A2598" i="1"/>
  <c r="C2598" i="1"/>
  <c r="J2598" i="1"/>
  <c r="A2599" i="1"/>
  <c r="C2599" i="1"/>
  <c r="D2599" i="1"/>
  <c r="J2599" i="1"/>
  <c r="A2600" i="1"/>
  <c r="C2600" i="1"/>
  <c r="D2600" i="1"/>
  <c r="J2600" i="1"/>
  <c r="A2601" i="1"/>
  <c r="C2601" i="1"/>
  <c r="J2601" i="1"/>
  <c r="A2602" i="1"/>
  <c r="C2602" i="1"/>
  <c r="J2602" i="1"/>
  <c r="A2603" i="1"/>
  <c r="C2603" i="1"/>
  <c r="J2603" i="1"/>
  <c r="A2604" i="1"/>
  <c r="C2604" i="1"/>
  <c r="J2604" i="1"/>
  <c r="A2605" i="1"/>
  <c r="C2605" i="1"/>
  <c r="J2605" i="1"/>
  <c r="A2606" i="1"/>
  <c r="C2606" i="1"/>
  <c r="J2606" i="1"/>
  <c r="A2607" i="1"/>
  <c r="C2607" i="1"/>
  <c r="J2607" i="1"/>
  <c r="A2608" i="1"/>
  <c r="C2608" i="1"/>
  <c r="J2608" i="1"/>
  <c r="A2609" i="1"/>
  <c r="C2609" i="1"/>
  <c r="J2609" i="1"/>
  <c r="A2610" i="1"/>
  <c r="C2610" i="1"/>
  <c r="J2610" i="1"/>
  <c r="A2611" i="1"/>
  <c r="C2611" i="1"/>
  <c r="J2611" i="1"/>
  <c r="A2612" i="1"/>
  <c r="C2612" i="1"/>
  <c r="J2612" i="1"/>
  <c r="A2613" i="1"/>
  <c r="C2613" i="1"/>
  <c r="J2613" i="1"/>
  <c r="A2614" i="1"/>
  <c r="C2614" i="1"/>
  <c r="J2614" i="1"/>
  <c r="A2615" i="1"/>
  <c r="C2615" i="1"/>
  <c r="J2615" i="1"/>
  <c r="A2616" i="1"/>
  <c r="C2616" i="1"/>
  <c r="D2616" i="1"/>
  <c r="J2616" i="1"/>
  <c r="A3053" i="1"/>
  <c r="A3054" i="1"/>
  <c r="A2617" i="1"/>
  <c r="C2617" i="1"/>
  <c r="J2617" i="1"/>
  <c r="A3055" i="1"/>
  <c r="A2618" i="1"/>
  <c r="C2618" i="1"/>
  <c r="J2618" i="1"/>
  <c r="A2619" i="1"/>
  <c r="C2619" i="1"/>
  <c r="D2619" i="1"/>
  <c r="J2619" i="1"/>
  <c r="A2620" i="1"/>
  <c r="C2620" i="1"/>
  <c r="J2620" i="1"/>
  <c r="A2621" i="1"/>
  <c r="C2621" i="1"/>
  <c r="D2621" i="1"/>
  <c r="J2621" i="1"/>
  <c r="A2622" i="1"/>
  <c r="C2622" i="1"/>
  <c r="D2622" i="1"/>
  <c r="J2622" i="1"/>
  <c r="A2623" i="1"/>
  <c r="C2623" i="1"/>
  <c r="D2623" i="1"/>
  <c r="J2623" i="1"/>
  <c r="A2624" i="1"/>
  <c r="C2624" i="1"/>
  <c r="J2624" i="1"/>
  <c r="A2625" i="1"/>
  <c r="C2625" i="1"/>
  <c r="J2625" i="1"/>
  <c r="A3056" i="1"/>
  <c r="A2626" i="1"/>
  <c r="C2626" i="1"/>
  <c r="J2626" i="1"/>
  <c r="A2627" i="1"/>
  <c r="C2627" i="1"/>
  <c r="D2627" i="1"/>
  <c r="J2627" i="1"/>
  <c r="A2628" i="1"/>
  <c r="C2628" i="1"/>
  <c r="J2628" i="1"/>
  <c r="A2629" i="1"/>
  <c r="C2629" i="1"/>
  <c r="J2629" i="1"/>
  <c r="A2630" i="1"/>
  <c r="C2630" i="1"/>
  <c r="D2630" i="1"/>
  <c r="J2630" i="1"/>
  <c r="A2631" i="1"/>
  <c r="C2631" i="1"/>
  <c r="D2631" i="1"/>
  <c r="J2631" i="1"/>
  <c r="A2632" i="1"/>
  <c r="C2632" i="1"/>
  <c r="D2632" i="1"/>
  <c r="J2632" i="1"/>
  <c r="A2633" i="1"/>
  <c r="C2633" i="1"/>
  <c r="D2633" i="1"/>
  <c r="J2633" i="1"/>
  <c r="A2634" i="1"/>
  <c r="C2634" i="1"/>
  <c r="D2634" i="1"/>
  <c r="J2634" i="1"/>
  <c r="A2635" i="1"/>
  <c r="C2635" i="1"/>
  <c r="D2635" i="1"/>
  <c r="J2635" i="1"/>
  <c r="A2636" i="1"/>
  <c r="C2636" i="1"/>
  <c r="J2636" i="1"/>
  <c r="A2637" i="1"/>
  <c r="C2637" i="1"/>
  <c r="D2637" i="1"/>
  <c r="J2637" i="1"/>
  <c r="A2638" i="1"/>
  <c r="C2638" i="1"/>
  <c r="J2638" i="1"/>
  <c r="A2639" i="1"/>
  <c r="C2639" i="1"/>
  <c r="J2639" i="1"/>
  <c r="A2640" i="1"/>
  <c r="C2640" i="1"/>
  <c r="J2640" i="1"/>
  <c r="A2641" i="1"/>
  <c r="C2641" i="1"/>
  <c r="D2641" i="1"/>
  <c r="J2641" i="1"/>
  <c r="A2642" i="1"/>
  <c r="C2642" i="1"/>
  <c r="D2642" i="1"/>
  <c r="J2642" i="1"/>
  <c r="A3057" i="1"/>
  <c r="A2643" i="1"/>
  <c r="C2643" i="1"/>
  <c r="D2643" i="1"/>
  <c r="J2643" i="1"/>
  <c r="A2644" i="1"/>
  <c r="C2644" i="1"/>
  <c r="D2644" i="1"/>
  <c r="J2644" i="1"/>
  <c r="A2645" i="1"/>
  <c r="C2645" i="1"/>
  <c r="J2645" i="1"/>
  <c r="A2646" i="1"/>
  <c r="C2646" i="1"/>
  <c r="J2646" i="1"/>
  <c r="A2647" i="1"/>
  <c r="C2647" i="1"/>
  <c r="J2647" i="1"/>
  <c r="A2648" i="1"/>
  <c r="C2648" i="1"/>
  <c r="D2648" i="1"/>
  <c r="J2648" i="1"/>
  <c r="A2649" i="1"/>
  <c r="C2649" i="1"/>
  <c r="J2649" i="1"/>
  <c r="A2650" i="1"/>
  <c r="C2650" i="1"/>
  <c r="J2650" i="1"/>
  <c r="A2651" i="1"/>
  <c r="C2651" i="1"/>
  <c r="D2651" i="1"/>
  <c r="J2651" i="1"/>
  <c r="A2652" i="1"/>
  <c r="C2652" i="1"/>
  <c r="D2652" i="1"/>
  <c r="J2652" i="1"/>
  <c r="A2653" i="1"/>
  <c r="C2653" i="1"/>
  <c r="D2653" i="1"/>
  <c r="J2653" i="1"/>
  <c r="A2654" i="1"/>
  <c r="C2654" i="1"/>
  <c r="J2654" i="1"/>
  <c r="A2655" i="1"/>
  <c r="C2655" i="1"/>
  <c r="D2655" i="1"/>
  <c r="J2655" i="1"/>
  <c r="A2656" i="1"/>
  <c r="C2656" i="1"/>
  <c r="J2656" i="1"/>
  <c r="A2657" i="1"/>
  <c r="C2657" i="1"/>
  <c r="J2657" i="1"/>
  <c r="A3058" i="1"/>
  <c r="A2658" i="1"/>
  <c r="C2658" i="1"/>
  <c r="J2658" i="1"/>
  <c r="A2659" i="1"/>
  <c r="C2659" i="1"/>
  <c r="D2659" i="1"/>
  <c r="J2659" i="1"/>
  <c r="A3059" i="1"/>
  <c r="A2660" i="1"/>
  <c r="C2660" i="1"/>
  <c r="J2660" i="1"/>
  <c r="A2661" i="1"/>
  <c r="C2661" i="1"/>
  <c r="D2661" i="1"/>
  <c r="J2661" i="1"/>
  <c r="A2662" i="1"/>
  <c r="C2662" i="1"/>
  <c r="J2662" i="1"/>
  <c r="A2663" i="1"/>
  <c r="C2663" i="1"/>
  <c r="D2663" i="1"/>
  <c r="J2663" i="1"/>
  <c r="A2664" i="1"/>
  <c r="C2664" i="1"/>
  <c r="D2664" i="1"/>
  <c r="J2664" i="1"/>
  <c r="A2665" i="1"/>
  <c r="C2665" i="1"/>
  <c r="D2665" i="1"/>
  <c r="J2665" i="1"/>
  <c r="A2666" i="1"/>
  <c r="C2666" i="1"/>
  <c r="D2666" i="1"/>
  <c r="J2666" i="1"/>
  <c r="A2667" i="1"/>
  <c r="C2667" i="1"/>
  <c r="J2667" i="1"/>
  <c r="A2668" i="1"/>
  <c r="C2668" i="1"/>
  <c r="J2668" i="1"/>
  <c r="A2669" i="1"/>
  <c r="C2669" i="1"/>
  <c r="D2669" i="1"/>
  <c r="J2669" i="1"/>
  <c r="A2670" i="1"/>
  <c r="C2670" i="1"/>
  <c r="D2670" i="1"/>
  <c r="J2670" i="1"/>
  <c r="A2671" i="1"/>
  <c r="C2671" i="1"/>
  <c r="J2671" i="1"/>
  <c r="A2672" i="1"/>
  <c r="C2672" i="1"/>
  <c r="D2672" i="1"/>
  <c r="J2672" i="1"/>
  <c r="A2673" i="1"/>
  <c r="C2673" i="1"/>
  <c r="J2673" i="1"/>
  <c r="A2674" i="1"/>
  <c r="C2674" i="1"/>
  <c r="J2674" i="1"/>
  <c r="A2675" i="1"/>
  <c r="C2675" i="1"/>
  <c r="D2675" i="1"/>
  <c r="J2675" i="1"/>
  <c r="A3060" i="1"/>
  <c r="A2676" i="1"/>
  <c r="C2676" i="1"/>
  <c r="J2676" i="1"/>
  <c r="A2677" i="1"/>
  <c r="C2677" i="1"/>
  <c r="J2677" i="1"/>
  <c r="A2678" i="1"/>
  <c r="C2678" i="1"/>
  <c r="J2678" i="1"/>
  <c r="A2679" i="1"/>
  <c r="C2679" i="1"/>
  <c r="J2679" i="1"/>
  <c r="A2680" i="1"/>
  <c r="C2680" i="1"/>
  <c r="D2680" i="1"/>
  <c r="J2680" i="1"/>
  <c r="A2681" i="1"/>
  <c r="C2681" i="1"/>
  <c r="J2681" i="1"/>
  <c r="A2682" i="1"/>
  <c r="C2682" i="1"/>
  <c r="D2682" i="1"/>
  <c r="J2682" i="1"/>
  <c r="A3061" i="1"/>
  <c r="A2683" i="1"/>
  <c r="C2683" i="1"/>
  <c r="J2683" i="1"/>
  <c r="A2684" i="1"/>
  <c r="C2684" i="1"/>
  <c r="J2684" i="1"/>
  <c r="A2685" i="1"/>
  <c r="C2685" i="1"/>
  <c r="D2685" i="1"/>
  <c r="J2685" i="1"/>
  <c r="A2686" i="1"/>
  <c r="C2686" i="1"/>
  <c r="J2686" i="1"/>
  <c r="A3062" i="1"/>
  <c r="A2687" i="1"/>
  <c r="C2687" i="1"/>
  <c r="J2687" i="1"/>
  <c r="A2688" i="1"/>
  <c r="C2688" i="1"/>
  <c r="D2688" i="1"/>
  <c r="J2688" i="1"/>
  <c r="A2689" i="1"/>
  <c r="C2689" i="1"/>
  <c r="D2689" i="1"/>
  <c r="J2689" i="1"/>
  <c r="A2690" i="1"/>
  <c r="C2690" i="1"/>
  <c r="D2690" i="1"/>
  <c r="J2690" i="1"/>
  <c r="A2691" i="1"/>
  <c r="C2691" i="1"/>
  <c r="J2691" i="1"/>
  <c r="A2692" i="1"/>
  <c r="C2692" i="1"/>
  <c r="J2692" i="1"/>
  <c r="A2693" i="1"/>
  <c r="C2693" i="1"/>
  <c r="J2693" i="1"/>
  <c r="A2694" i="1"/>
  <c r="C2694" i="1"/>
  <c r="J2694" i="1"/>
  <c r="A2695" i="1"/>
  <c r="C2695" i="1"/>
  <c r="J2695" i="1"/>
  <c r="A3063" i="1"/>
  <c r="A3167" i="1"/>
  <c r="A2696" i="1"/>
  <c r="C2696" i="1"/>
  <c r="D2696" i="1"/>
  <c r="J2696" i="1"/>
  <c r="A2697" i="1"/>
  <c r="C2697" i="1"/>
  <c r="J2697" i="1"/>
  <c r="A2698" i="1"/>
  <c r="C2698" i="1"/>
  <c r="J2698" i="1"/>
  <c r="A2699" i="1"/>
  <c r="C2699" i="1"/>
  <c r="D2699" i="1"/>
  <c r="J2699" i="1"/>
  <c r="A2700" i="1"/>
  <c r="C2700" i="1"/>
  <c r="J2700" i="1"/>
  <c r="A3168" i="1"/>
  <c r="A2701" i="1"/>
  <c r="C2701" i="1"/>
  <c r="D2701" i="1"/>
  <c r="J2701" i="1"/>
  <c r="A2702" i="1"/>
  <c r="C2702" i="1"/>
  <c r="J2702" i="1"/>
  <c r="A2703" i="1"/>
  <c r="C2703" i="1"/>
  <c r="J2703" i="1"/>
  <c r="A2704" i="1"/>
  <c r="C2704" i="1"/>
  <c r="D2704" i="1"/>
  <c r="J2704" i="1"/>
  <c r="A2705" i="1"/>
  <c r="C2705" i="1"/>
  <c r="J2705" i="1"/>
  <c r="A2706" i="1"/>
  <c r="C2706" i="1"/>
  <c r="D2706" i="1"/>
  <c r="J2706" i="1"/>
  <c r="A3064" i="1"/>
  <c r="A2707" i="1"/>
  <c r="C2707" i="1"/>
  <c r="J2707" i="1"/>
  <c r="A3169" i="1"/>
</calcChain>
</file>

<file path=xl/sharedStrings.xml><?xml version="1.0" encoding="utf-8"?>
<sst xmlns="http://schemas.openxmlformats.org/spreadsheetml/2006/main" count="24602" uniqueCount="9753">
  <si>
    <t>NumeroEtudiant</t>
  </si>
  <si>
    <t>NomPrenom</t>
  </si>
  <si>
    <t>NoCivique</t>
  </si>
  <si>
    <t>Appartement</t>
  </si>
  <si>
    <t>Rue</t>
  </si>
  <si>
    <t>Ville</t>
  </si>
  <si>
    <t>CodePostal</t>
  </si>
  <si>
    <t>CodeProvince</t>
  </si>
  <si>
    <t>Pays</t>
  </si>
  <si>
    <t>TelephonePrincipal</t>
  </si>
  <si>
    <t>CourrielPersonnel</t>
  </si>
  <si>
    <t>TitreProgramme</t>
  </si>
  <si>
    <t>Formulaire de consentment Fondation du Cégep de Rosemont</t>
  </si>
  <si>
    <t>Ducharme, Julie</t>
  </si>
  <si>
    <t>DE LA CACHETTE</t>
  </si>
  <si>
    <t>STOKE</t>
  </si>
  <si>
    <t>J0B3G0</t>
  </si>
  <si>
    <t>QC</t>
  </si>
  <si>
    <t>Canada</t>
  </si>
  <si>
    <t>journalopp@hotmail.com</t>
  </si>
  <si>
    <t>Acupuncture</t>
  </si>
  <si>
    <t>Accepté</t>
  </si>
  <si>
    <t>Morel, Vanessa</t>
  </si>
  <si>
    <t>RUE ALEXANDER-C.-HUTCHISON</t>
  </si>
  <si>
    <t>MONTRÉAL</t>
  </si>
  <si>
    <t>H1A5M2</t>
  </si>
  <si>
    <t>vanessa_morel@hotmail.com</t>
  </si>
  <si>
    <t>Soins infirmiers</t>
  </si>
  <si>
    <t>2E AVENUE</t>
  </si>
  <si>
    <t>Techniques de pharmacie</t>
  </si>
  <si>
    <t>Bougie, Geneviève</t>
  </si>
  <si>
    <t>MAISONNEUVE</t>
  </si>
  <si>
    <t>REPENTIGNY</t>
  </si>
  <si>
    <t>J6A6J7</t>
  </si>
  <si>
    <t>genevievebougie_1@hotmail.com</t>
  </si>
  <si>
    <t>Auger-Courville, Jacqueline</t>
  </si>
  <si>
    <t>RUE GUIZOT EST</t>
  </si>
  <si>
    <t>H2P1M5</t>
  </si>
  <si>
    <t>jacqueline.auger@gmail.com</t>
  </si>
  <si>
    <t>Techniques d'inhalothérapie</t>
  </si>
  <si>
    <t>MONTREAL</t>
  </si>
  <si>
    <t>Morin, Caroline</t>
  </si>
  <si>
    <t>RUE LOUIS-BAZINET</t>
  </si>
  <si>
    <t>SAINT-CHARLES-BORROMÉE</t>
  </si>
  <si>
    <t>J6E2B7</t>
  </si>
  <si>
    <t>abracadapow@outlook.com</t>
  </si>
  <si>
    <t>MONTRÉAL-EST</t>
  </si>
  <si>
    <t>Hudon, Anaïs</t>
  </si>
  <si>
    <t>3 AVENUE</t>
  </si>
  <si>
    <t>H1Y2W5</t>
  </si>
  <si>
    <t>anais_hudon@outlook.com</t>
  </si>
  <si>
    <t>Refusé</t>
  </si>
  <si>
    <t>Roy Leconte, Karina</t>
  </si>
  <si>
    <t>AV ELIOT</t>
  </si>
  <si>
    <t>LAVAL</t>
  </si>
  <si>
    <t>H7W0C3</t>
  </si>
  <si>
    <t>leconte_karina@hotmail.ca</t>
  </si>
  <si>
    <t>Saintilma, Norma</t>
  </si>
  <si>
    <t>DE PONTBRIAND</t>
  </si>
  <si>
    <t>H2R1K4</t>
  </si>
  <si>
    <t>bievi@hotmail.com</t>
  </si>
  <si>
    <t>412.A0 Spécialisation micro-édition et hypermédia</t>
  </si>
  <si>
    <t>Andre-Fils, Andrewin</t>
  </si>
  <si>
    <t>RUE MARIANA JODOIN</t>
  </si>
  <si>
    <t>H1E6T1</t>
  </si>
  <si>
    <t>andrewin.a@hotmail.com</t>
  </si>
  <si>
    <t>Sylvestre, Jean Michel</t>
  </si>
  <si>
    <t>BOULEVARD PIE-IX</t>
  </si>
  <si>
    <t>H1H4B5</t>
  </si>
  <si>
    <t>jmsylvestre85@gmail.com</t>
  </si>
  <si>
    <t xml:space="preserve">DEP-DEC Réseautique: sécurité et virtualisation </t>
  </si>
  <si>
    <t>Bacon, Uasheskun</t>
  </si>
  <si>
    <t>MOLSON</t>
  </si>
  <si>
    <t>H1Y3C4</t>
  </si>
  <si>
    <t>uash.bacon@gmail.com</t>
  </si>
  <si>
    <t>12E AVENUE</t>
  </si>
  <si>
    <t>Développement d'applications: Web et mobiles</t>
  </si>
  <si>
    <t>Gallant, Benjamin</t>
  </si>
  <si>
    <t>AVENUE BOURBONNIÈRE</t>
  </si>
  <si>
    <t>H1X2M8</t>
  </si>
  <si>
    <t>gallantbenjamin07@gmail.com</t>
  </si>
  <si>
    <t>Tran, Richard</t>
  </si>
  <si>
    <t>RUE FLEURY EST</t>
  </si>
  <si>
    <t>H2B1M1</t>
  </si>
  <si>
    <t>richard_tran91@yahoo.ca</t>
  </si>
  <si>
    <t>RUE DE GUYENNE</t>
  </si>
  <si>
    <t>Tremplin DEC</t>
  </si>
  <si>
    <t>RUE D'ABANCOURT</t>
  </si>
  <si>
    <t>Sciences, informatique et mathématique</t>
  </si>
  <si>
    <t>Pelletier, Sophie</t>
  </si>
  <si>
    <t>RUE HELEN</t>
  </si>
  <si>
    <t>OTTERBURN PARK</t>
  </si>
  <si>
    <t>J3H1R3</t>
  </si>
  <si>
    <t>sophiepelt@hotmail.com</t>
  </si>
  <si>
    <t>Pierre, Brian Joseph</t>
  </si>
  <si>
    <t>RUE DE BRÉSOLES</t>
  </si>
  <si>
    <t>H2Y1V5</t>
  </si>
  <si>
    <t>brianjoseph.pierre@gmail.com</t>
  </si>
  <si>
    <t>Comptabilité</t>
  </si>
  <si>
    <t>Arsenault, François</t>
  </si>
  <si>
    <t>18E AVENUE</t>
  </si>
  <si>
    <t>H2A2N2</t>
  </si>
  <si>
    <t>francois.m.arsenault@gmail.com</t>
  </si>
  <si>
    <t>Cytotechnologie</t>
  </si>
  <si>
    <t>Rivard, Caroline</t>
  </si>
  <si>
    <t>RUE D'AMIENS</t>
  </si>
  <si>
    <t>H1H2G5</t>
  </si>
  <si>
    <t>crivard_875@hotmail.com</t>
  </si>
  <si>
    <t>Dupré, Sarah-Eve</t>
  </si>
  <si>
    <t>RUE LE ROYER</t>
  </si>
  <si>
    <t>H7M2S7</t>
  </si>
  <si>
    <t>saraheve26@gmail.com</t>
  </si>
  <si>
    <t>Riodin, Esther</t>
  </si>
  <si>
    <t>AVENUE PHILIPPE LEBON</t>
  </si>
  <si>
    <t>H1E1L3</t>
  </si>
  <si>
    <t>esther_riodin@hotmail.com</t>
  </si>
  <si>
    <t>Chéry, Rose Miguelle</t>
  </si>
  <si>
    <t>AVENUE DÉSY</t>
  </si>
  <si>
    <t>H1G4E5</t>
  </si>
  <si>
    <t>rosie_1718@hotmail.com</t>
  </si>
  <si>
    <t>Fauteux-Senécal, Jean-François</t>
  </si>
  <si>
    <t>10E AVE</t>
  </si>
  <si>
    <t>H1Z3C2</t>
  </si>
  <si>
    <t>jf.senecal@hotmail.com</t>
  </si>
  <si>
    <t>Merlos, Magaly</t>
  </si>
  <si>
    <t>RUE BÉLANGER</t>
  </si>
  <si>
    <t>H2G1A1</t>
  </si>
  <si>
    <t>merlos_m@hotmail.ca</t>
  </si>
  <si>
    <t>Huynh, Kevin</t>
  </si>
  <si>
    <t>AVENUE DE LORIMIER</t>
  </si>
  <si>
    <t>H2G2P9</t>
  </si>
  <si>
    <t>huynh_kevin@hotmail.com</t>
  </si>
  <si>
    <t>Techniques de recherche et de gestion de données</t>
  </si>
  <si>
    <t>Ulysse, Yolande</t>
  </si>
  <si>
    <t>RUE EVERETT</t>
  </si>
  <si>
    <t>H2E1N1</t>
  </si>
  <si>
    <t>Yolande.1221@gmail.com</t>
  </si>
  <si>
    <t>Sciences humaines: Profil Individu et interactions ps</t>
  </si>
  <si>
    <t>Rodriguez-de la O, Karina Janet</t>
  </si>
  <si>
    <t>RUE PIERRE BÉDARD</t>
  </si>
  <si>
    <t>H1M1K2</t>
  </si>
  <si>
    <t>karina.janet.rodriguez.hsj@ssss.gouv.qc.ca</t>
  </si>
  <si>
    <t>412.A0 Spécialisation coordination travail de bureau</t>
  </si>
  <si>
    <t>TERREBONNE</t>
  </si>
  <si>
    <t>RUE SAINT-DENIS</t>
  </si>
  <si>
    <t>Cytogénétique clinique</t>
  </si>
  <si>
    <t>Paraison, Vanessa Emmanuela</t>
  </si>
  <si>
    <t>RUE DE NORMANDIE</t>
  </si>
  <si>
    <t>H1G2L2</t>
  </si>
  <si>
    <t>vanessa-emmanuela@hotmail.com</t>
  </si>
  <si>
    <t>Felix, Fabienne</t>
  </si>
  <si>
    <t>SAINT-JEAN-BAPTISTE</t>
  </si>
  <si>
    <t>POINTE-AUX-TREMBLES</t>
  </si>
  <si>
    <t>H1B4A8</t>
  </si>
  <si>
    <t>fabiefelix@hotmail.com</t>
  </si>
  <si>
    <t>Larose, Stéphanie</t>
  </si>
  <si>
    <t>BELLEROSE</t>
  </si>
  <si>
    <t>LONGUEUIL</t>
  </si>
  <si>
    <t>J4L4H8</t>
  </si>
  <si>
    <t>Stefanybengal@gmail.com</t>
  </si>
  <si>
    <t>Jubuisson, Rebecca C.</t>
  </si>
  <si>
    <t>RUE NOTRE DAME</t>
  </si>
  <si>
    <t>J6A5T6</t>
  </si>
  <si>
    <t>rebbhime@gmail.com</t>
  </si>
  <si>
    <t>Ramos-Castro, Johanna</t>
  </si>
  <si>
    <t>VIAU</t>
  </si>
  <si>
    <t>H1R2T4</t>
  </si>
  <si>
    <t>johanna.ramos.castro@hotmail.com</t>
  </si>
  <si>
    <t>Gestion de commerces</t>
  </si>
  <si>
    <t>16E AVENUE</t>
  </si>
  <si>
    <t>H1X2S9</t>
  </si>
  <si>
    <t>Espérance, Jefferson Noël</t>
  </si>
  <si>
    <t>RUE FISET</t>
  </si>
  <si>
    <t>H1G2B2</t>
  </si>
  <si>
    <t>jeffersonschneidernoel@gmail.com</t>
  </si>
  <si>
    <t>Mayor Pinola, Rodrigo</t>
  </si>
  <si>
    <t>RUE LACORDAIRE</t>
  </si>
  <si>
    <t>H1T2K1</t>
  </si>
  <si>
    <t>rodrigompx19@hotmail.ca</t>
  </si>
  <si>
    <t>Beauge, Charlot</t>
  </si>
  <si>
    <t>AVENUE PARKVILLE</t>
  </si>
  <si>
    <t>H1N3A8</t>
  </si>
  <si>
    <t>chacha1478@gmail.com</t>
  </si>
  <si>
    <t>AVENUE JULES-DORION</t>
  </si>
  <si>
    <t>H1G4W8</t>
  </si>
  <si>
    <t>Vincent, Immacula</t>
  </si>
  <si>
    <t>AVENUE EDGER</t>
  </si>
  <si>
    <t>H1G5A3</t>
  </si>
  <si>
    <t>vincent.immacula@yahoo.ca</t>
  </si>
  <si>
    <t>Figueiredo-Martins, Bruno</t>
  </si>
  <si>
    <t>AVENUE RITA-LEVI-MONTALCINI</t>
  </si>
  <si>
    <t>H1E4V3</t>
  </si>
  <si>
    <t>brunofigmartins@hotmail.com</t>
  </si>
  <si>
    <t>Techniques de comptabilité et de gestion</t>
  </si>
  <si>
    <t>Racicot, Vivianne</t>
  </si>
  <si>
    <t>13E AVENUE ROSEMONT</t>
  </si>
  <si>
    <t>H1X2Y7</t>
  </si>
  <si>
    <t>racicotvivianne@gmail.com</t>
  </si>
  <si>
    <t>Techniques d'aménagement et d'urbanisme</t>
  </si>
  <si>
    <t>Sylvestre, Taïla-Taryn</t>
  </si>
  <si>
    <t>RUE HOCHELAGA</t>
  </si>
  <si>
    <t>H1L2L1</t>
  </si>
  <si>
    <t>super_taila@hotmail.com</t>
  </si>
  <si>
    <t>Sciences humaines: Profil interventions psy. et éduc.</t>
  </si>
  <si>
    <t>Laroche, Emilie</t>
  </si>
  <si>
    <t>H1X2Z4</t>
  </si>
  <si>
    <t>emilie.ad.08@gmail.com</t>
  </si>
  <si>
    <t>Option Langues</t>
  </si>
  <si>
    <t>Faizi, Khalid</t>
  </si>
  <si>
    <t>RUE JÉRÉMIE-VERNIER</t>
  </si>
  <si>
    <t>H7W5K6</t>
  </si>
  <si>
    <t>khalidfz11@hotmail.com</t>
  </si>
  <si>
    <t>Ouanes, Ekbel</t>
  </si>
  <si>
    <t>AVENUE VAN HORNE</t>
  </si>
  <si>
    <t>H3S1R2</t>
  </si>
  <si>
    <t>ekbel@live.com</t>
  </si>
  <si>
    <t>Stoilov, Radoslav Vesselinov</t>
  </si>
  <si>
    <t>80E AVENUE</t>
  </si>
  <si>
    <t>H1A2L7</t>
  </si>
  <si>
    <t>Rado_249@hotmail.com</t>
  </si>
  <si>
    <t>Réseautique: sécurité et virtualisation</t>
  </si>
  <si>
    <t>Estimé, Marie-France</t>
  </si>
  <si>
    <t>AVENUE COPERNIC</t>
  </si>
  <si>
    <t>H1E1V9</t>
  </si>
  <si>
    <t>marie-france_estime@hotmail.com</t>
  </si>
  <si>
    <t>Leblond, Jean Nicolas</t>
  </si>
  <si>
    <t>AV PIGEON</t>
  </si>
  <si>
    <t>H1G5V1</t>
  </si>
  <si>
    <t>jeannicolaslb88@gmail.com</t>
  </si>
  <si>
    <t>SAINTE-THÉRÈSE</t>
  </si>
  <si>
    <t>Dieujuste, Claire Johanna</t>
  </si>
  <si>
    <t>BOULEVARD MAURICE-DUPLESSIS</t>
  </si>
  <si>
    <t>H1G5X9</t>
  </si>
  <si>
    <t>johannamariejessy@gmail.com</t>
  </si>
  <si>
    <t>RUE BRESSANI</t>
  </si>
  <si>
    <t>H1Z1H3</t>
  </si>
  <si>
    <t>AVENUE STUART</t>
  </si>
  <si>
    <t>Laurent, Emrick</t>
  </si>
  <si>
    <t>5E AV</t>
  </si>
  <si>
    <t>H1Y2S4</t>
  </si>
  <si>
    <t>emrick.l@hotmail.com</t>
  </si>
  <si>
    <t>Bernatchez-Lefebvre, Jean-Sébastien</t>
  </si>
  <si>
    <t>RUE RAMEAU</t>
  </si>
  <si>
    <t>H1L2Y7</t>
  </si>
  <si>
    <t>jsbernatchez1943@gmail.com</t>
  </si>
  <si>
    <t>Lopez-Sanz, Gianna</t>
  </si>
  <si>
    <t>RUE JEAN-TALON</t>
  </si>
  <si>
    <t>H1S1L9</t>
  </si>
  <si>
    <t>gianna.lopez@hotmail.com</t>
  </si>
  <si>
    <t>Henley, Chai</t>
  </si>
  <si>
    <t>BOULEVARD DU TRICENTENAIRE</t>
  </si>
  <si>
    <t>H1B5P4</t>
  </si>
  <si>
    <t>vanillachai42@pm.me</t>
  </si>
  <si>
    <t>24E AVENUE</t>
  </si>
  <si>
    <t>Romeus, Marie-Junie</t>
  </si>
  <si>
    <t>PROVENCHER BLVD</t>
  </si>
  <si>
    <t>BROSSARD</t>
  </si>
  <si>
    <t>J4W1Z2</t>
  </si>
  <si>
    <t>romeusm1@hotmail.ca</t>
  </si>
  <si>
    <t>Tu, Anna</t>
  </si>
  <si>
    <t>RUE BOYER</t>
  </si>
  <si>
    <t>H2R2R9</t>
  </si>
  <si>
    <t>annatu01@hotmail.com</t>
  </si>
  <si>
    <t>Bodo, Pierre Hebert</t>
  </si>
  <si>
    <t>NOTRE DAME EST</t>
  </si>
  <si>
    <t>H1A3T2</t>
  </si>
  <si>
    <t>pierrehbert@gmail.com</t>
  </si>
  <si>
    <t>Gourdet, Lesly-Junior</t>
  </si>
  <si>
    <t>AVENUE ALLARD</t>
  </si>
  <si>
    <t>H1G3J8</t>
  </si>
  <si>
    <t>gourdetljr@hotmail.com</t>
  </si>
  <si>
    <t>Di Risio, Sabrina</t>
  </si>
  <si>
    <t>RUE DE LARGENTIÈRE</t>
  </si>
  <si>
    <t>H7N3Z9</t>
  </si>
  <si>
    <t>dirisio31@gmail.com</t>
  </si>
  <si>
    <t>Technique d'inhalothérapie</t>
  </si>
  <si>
    <t>Desrosiers, Vanessa</t>
  </si>
  <si>
    <t>TERRASSE DOUVILLE</t>
  </si>
  <si>
    <t>J4L2Y3</t>
  </si>
  <si>
    <t>vanessa.desro@outlook.com</t>
  </si>
  <si>
    <t>Muzaliwa, Sangya</t>
  </si>
  <si>
    <t>BOULEVARD HENRI-BOURASSA EST</t>
  </si>
  <si>
    <t>H2B1T4</t>
  </si>
  <si>
    <t>jeremy.milambo@hotmail.com</t>
  </si>
  <si>
    <t>Sciences humaines: Profil sport et société</t>
  </si>
  <si>
    <t>Detry, Gabriel</t>
  </si>
  <si>
    <t>RUE CARTIER</t>
  </si>
  <si>
    <t>H2H1X5</t>
  </si>
  <si>
    <t>gabrieldetry89@gmail.com</t>
  </si>
  <si>
    <t>Abellard, Kathery</t>
  </si>
  <si>
    <t>BEAUCHEMIN</t>
  </si>
  <si>
    <t>J6A7V7</t>
  </si>
  <si>
    <t>kathery.abellard@gmail.com</t>
  </si>
  <si>
    <t>Joseph, Lauraine</t>
  </si>
  <si>
    <t>H1B3B1</t>
  </si>
  <si>
    <t>laurainejoseph@hotmail.com</t>
  </si>
  <si>
    <t>Hanine, Iliass</t>
  </si>
  <si>
    <t>86E AV</t>
  </si>
  <si>
    <t>H1C1J8</t>
  </si>
  <si>
    <t>leohanine10@hotmail.com</t>
  </si>
  <si>
    <t>Aimable, Jessica</t>
  </si>
  <si>
    <t>RUE D'ALEMBERT</t>
  </si>
  <si>
    <t>H1C2C4</t>
  </si>
  <si>
    <t>jessica.aimable@hotmail.fr</t>
  </si>
  <si>
    <t>RUE DARLING</t>
  </si>
  <si>
    <t>Option Multidisciplinaire</t>
  </si>
  <si>
    <t>BOULEVARD ROBERT</t>
  </si>
  <si>
    <t>H1R0E3</t>
  </si>
  <si>
    <t>Moquin-Turgeon, Logan</t>
  </si>
  <si>
    <t>RUE MONTCALM</t>
  </si>
  <si>
    <t>MANIWAKI</t>
  </si>
  <si>
    <t>J9E1T8</t>
  </si>
  <si>
    <t>loganmoquin@outlook.com</t>
  </si>
  <si>
    <t>Techniques de thanatologie</t>
  </si>
  <si>
    <t>BOULEVARD GOUIN EST</t>
  </si>
  <si>
    <t>Sabiri, Dounia</t>
  </si>
  <si>
    <t>CSP M. DUPLESSIS</t>
  </si>
  <si>
    <t>H1E0B2</t>
  </si>
  <si>
    <t>dounia-sabiri@hotmail.ca</t>
  </si>
  <si>
    <t>Audioprothèse</t>
  </si>
  <si>
    <t>Bao, Alexandre</t>
  </si>
  <si>
    <t>RUE MACKAY</t>
  </si>
  <si>
    <t>SAINT-HUBERT</t>
  </si>
  <si>
    <t>J4T2N6</t>
  </si>
  <si>
    <t>alex.tkd345@gmail.com</t>
  </si>
  <si>
    <t>Ainouss, Ouiame</t>
  </si>
  <si>
    <t>AVENUE ARTHUR - BUIES</t>
  </si>
  <si>
    <t>H1G4M4</t>
  </si>
  <si>
    <t>wtrophyyy@gmail.com</t>
  </si>
  <si>
    <t>Romero, Magda Bibiana</t>
  </si>
  <si>
    <t>PLACE FORTIER</t>
  </si>
  <si>
    <t>H4L5A9</t>
  </si>
  <si>
    <t>mabiroca@hotmail.com</t>
  </si>
  <si>
    <t>Intégration à la profession de technologiste biomédic</t>
  </si>
  <si>
    <t>Sia, Lawbarka Aloys</t>
  </si>
  <si>
    <t>RUE MENNEREUIL</t>
  </si>
  <si>
    <t>H1S1S6</t>
  </si>
  <si>
    <t>siaaloys14@yahoo.com</t>
  </si>
  <si>
    <t>Rico Rocha, Victor Eduardo</t>
  </si>
  <si>
    <t>RUE HADLEY</t>
  </si>
  <si>
    <t>H4E3P8</t>
  </si>
  <si>
    <t>dantekane98@gmail.com</t>
  </si>
  <si>
    <t>Arseneau, Alexa</t>
  </si>
  <si>
    <t>RUE MASSON</t>
  </si>
  <si>
    <t>H2H1A3</t>
  </si>
  <si>
    <t>alexaarseneau@gmail.com</t>
  </si>
  <si>
    <t>Jean, Pierre-Olivier</t>
  </si>
  <si>
    <t>AVENUE YVETTE NAUBERT</t>
  </si>
  <si>
    <t>H1K5A2</t>
  </si>
  <si>
    <t>pojean97mail@gmail.com</t>
  </si>
  <si>
    <t>Technologie d'analyses biomédicales</t>
  </si>
  <si>
    <t>Amouzou, Adjovi Ayetouwa</t>
  </si>
  <si>
    <t>RUE DE LA YAMASKA</t>
  </si>
  <si>
    <t>J5Y4E1</t>
  </si>
  <si>
    <t>adjovi.amouzou@outlook.com</t>
  </si>
  <si>
    <t>Gonzalez Ventura, Bryan Leonel</t>
  </si>
  <si>
    <t>AVENUE 2E</t>
  </si>
  <si>
    <t>H1Y2Z7</t>
  </si>
  <si>
    <t>leon_live8@hotmail.fr</t>
  </si>
  <si>
    <t>St-Juste, Dugary</t>
  </si>
  <si>
    <t>AVENUE REGENT</t>
  </si>
  <si>
    <t>H4A2P6</t>
  </si>
  <si>
    <t>dugjuste@hotmail.com</t>
  </si>
  <si>
    <t>Nelzy, Marie Diouline</t>
  </si>
  <si>
    <t>RUE MARIE-VICTORIN</t>
  </si>
  <si>
    <t>H1G2J1</t>
  </si>
  <si>
    <t>dioulinen@hotmail.com</t>
  </si>
  <si>
    <t>Niko, Daryl Lucienne</t>
  </si>
  <si>
    <t>PLACE DE LA MALICORNE</t>
  </si>
  <si>
    <t>H1M2S8</t>
  </si>
  <si>
    <t>daryl_889@outlook.com</t>
  </si>
  <si>
    <t>Deslauriers, Laura</t>
  </si>
  <si>
    <t>AV DES ORMEAUX</t>
  </si>
  <si>
    <t>H1K2X8</t>
  </si>
  <si>
    <t>lau.deslau@hotmail.com</t>
  </si>
  <si>
    <t>Brutus, Perpétue</t>
  </si>
  <si>
    <t>AVENUE LINTON</t>
  </si>
  <si>
    <t>H3S1T2</t>
  </si>
  <si>
    <t>bossyblack_09@hotmail.com</t>
  </si>
  <si>
    <t>Pompée, Serjo-Mike</t>
  </si>
  <si>
    <t>RUE RACHEL EST</t>
  </si>
  <si>
    <t>H1X1Z2</t>
  </si>
  <si>
    <t>Serjomike@gmail.com</t>
  </si>
  <si>
    <t>Histoire et civilisation</t>
  </si>
  <si>
    <t>Kitenge-Mwali, Jemima</t>
  </si>
  <si>
    <t>RUE PIERRE-AUGER</t>
  </si>
  <si>
    <t>H1M2Z8</t>
  </si>
  <si>
    <t>jemimakitengem@gmail.com</t>
  </si>
  <si>
    <t>Allout, Mohamed-Nadir</t>
  </si>
  <si>
    <t>AVENUE DE CHARETTE</t>
  </si>
  <si>
    <t>H1M1E3</t>
  </si>
  <si>
    <t>mnallout@hotmail.com</t>
  </si>
  <si>
    <t>Houali, Ahmed</t>
  </si>
  <si>
    <t>RUE L.-O.-DAVID</t>
  </si>
  <si>
    <t>H2E1K7</t>
  </si>
  <si>
    <t>algerinoahmed17@gmail.com</t>
  </si>
  <si>
    <t>Sciences de la nature</t>
  </si>
  <si>
    <t>Hamon, Océane-Alizée</t>
  </si>
  <si>
    <t>1E AVENUE</t>
  </si>
  <si>
    <t>H1Y2Z9</t>
  </si>
  <si>
    <t>oceane_dauphin02@hotmail.com</t>
  </si>
  <si>
    <t>Fang, Yue Ren</t>
  </si>
  <si>
    <t>RUE BARRÉ</t>
  </si>
  <si>
    <t>H4L4M4</t>
  </si>
  <si>
    <t>893905777yr@gmail.com</t>
  </si>
  <si>
    <t>Lapierre, Vincent</t>
  </si>
  <si>
    <t>AVENUE PAPINEAU</t>
  </si>
  <si>
    <t>H2H1V3</t>
  </si>
  <si>
    <t>vincent.lapierre.27aout@gmail.com</t>
  </si>
  <si>
    <t>Chergui, Lydia</t>
  </si>
  <si>
    <t>H2E2H6</t>
  </si>
  <si>
    <t>lilachergui@hotmail.com</t>
  </si>
  <si>
    <t>Vallée-Martin, Nicolas</t>
  </si>
  <si>
    <t>RUE VILLERAY</t>
  </si>
  <si>
    <t>H2R1J8</t>
  </si>
  <si>
    <t>nivama@protonmail.com</t>
  </si>
  <si>
    <t>Arfaoui, Maroua</t>
  </si>
  <si>
    <t>15E AV</t>
  </si>
  <si>
    <t>H1X2V6</t>
  </si>
  <si>
    <t>marwa2008arfa@hotmail.com</t>
  </si>
  <si>
    <t>Fehim, Faycal</t>
  </si>
  <si>
    <t>AVENUE DE REPENTIGNY</t>
  </si>
  <si>
    <t>H1N2Y9</t>
  </si>
  <si>
    <t>faycalfehim@yahoo.com</t>
  </si>
  <si>
    <t>Beyrouthy, Raphaël</t>
  </si>
  <si>
    <t>AV LETOURNEUX</t>
  </si>
  <si>
    <t>H1V2L9</t>
  </si>
  <si>
    <t>raphbeyrouthy@gmail.com</t>
  </si>
  <si>
    <t>Tavasouli, Makan</t>
  </si>
  <si>
    <t>RUE JUSTIN-MERCURE</t>
  </si>
  <si>
    <t>L'ASSOMPTION</t>
  </si>
  <si>
    <t>J6A1P9</t>
  </si>
  <si>
    <t>makantavasouli@gmail.com</t>
  </si>
  <si>
    <t>Ali, Fatemeh</t>
  </si>
  <si>
    <t>SHERWOOD CRESCENT</t>
  </si>
  <si>
    <t>MOUNT ROYAL</t>
  </si>
  <si>
    <t>H3R3C4</t>
  </si>
  <si>
    <t>fatemehali@hotmail.com</t>
  </si>
  <si>
    <t>DEP/DEC  Développement d'applications: Web et mobiles</t>
  </si>
  <si>
    <t>RUE RIVARD</t>
  </si>
  <si>
    <t>RUE DE SALABERRY</t>
  </si>
  <si>
    <t>Archin, Natacha</t>
  </si>
  <si>
    <t>RUE MACDONALD</t>
  </si>
  <si>
    <t>H7W3C6</t>
  </si>
  <si>
    <t>nataduffaut@gmail.com</t>
  </si>
  <si>
    <t>RUE ÉMILE-NELLIGAN</t>
  </si>
  <si>
    <t>Zerari, Roumaissa</t>
  </si>
  <si>
    <t>RUE DU HAUTBOIS</t>
  </si>
  <si>
    <t>H1S1G6</t>
  </si>
  <si>
    <t>roumaissazerari@outlook.com</t>
  </si>
  <si>
    <t>Beauchamp, Charles-Etienne</t>
  </si>
  <si>
    <t>PLACE RADISSON</t>
  </si>
  <si>
    <t>J6A4T9</t>
  </si>
  <si>
    <t>cbeauchamp2000@outlook.com</t>
  </si>
  <si>
    <t>Lussier-Jetté, Jacynthe</t>
  </si>
  <si>
    <t>RUE DE BELLECHASSE</t>
  </si>
  <si>
    <t>H1T1Y8</t>
  </si>
  <si>
    <t>jacynthe.jette@outlook.fr</t>
  </si>
  <si>
    <t>Cabrera Julca, Pedro Gonzalo</t>
  </si>
  <si>
    <t>RUE JOLIVET</t>
  </si>
  <si>
    <t>H7N5Y6</t>
  </si>
  <si>
    <t>cabrerajulca@gmail.com</t>
  </si>
  <si>
    <t>Allard, Philippe</t>
  </si>
  <si>
    <t>RUE VERREAU</t>
  </si>
  <si>
    <t>H1M2C6</t>
  </si>
  <si>
    <t>philippeallard1568@outlook.com</t>
  </si>
  <si>
    <t>Sciences humaines: Profil Sport et société sans mathé</t>
  </si>
  <si>
    <t>Desmarais-Bourque, Malika</t>
  </si>
  <si>
    <t>AV PRUD'HOMME</t>
  </si>
  <si>
    <t>H4A3H3</t>
  </si>
  <si>
    <t>maligayo@gmail.com</t>
  </si>
  <si>
    <t>Longtin, Benoît</t>
  </si>
  <si>
    <t>BOULEVARD VIAU</t>
  </si>
  <si>
    <t>SAINT-LEONARD</t>
  </si>
  <si>
    <t>H1S2P4</t>
  </si>
  <si>
    <t>benoit_longtin@videotron.ca</t>
  </si>
  <si>
    <t>Saint-Cyr, Windy</t>
  </si>
  <si>
    <t>RUE COLBERT</t>
  </si>
  <si>
    <t>H1A3E4</t>
  </si>
  <si>
    <t>Windystcyr@outlook.com</t>
  </si>
  <si>
    <t>Quessy, Kassandra</t>
  </si>
  <si>
    <t>DES MUGUETS</t>
  </si>
  <si>
    <t>J5W5X3</t>
  </si>
  <si>
    <t>quessy.kassandra@hotmail.com</t>
  </si>
  <si>
    <t>Robert, Franceska</t>
  </si>
  <si>
    <t>25E AVENUE</t>
  </si>
  <si>
    <t>H1Z4C9</t>
  </si>
  <si>
    <t>robertfranceska@hotmail.com</t>
  </si>
  <si>
    <t>Potvin, Maxime</t>
  </si>
  <si>
    <t>RUE DE BIENCOURT</t>
  </si>
  <si>
    <t>H4E1T7</t>
  </si>
  <si>
    <t>maximepotvin@gmail.com</t>
  </si>
  <si>
    <t>RUE LE MAÎTRE</t>
  </si>
  <si>
    <t>H1S1P9</t>
  </si>
  <si>
    <t>RUE DE RICHELIEU</t>
  </si>
  <si>
    <t>Pinthierre, Fara</t>
  </si>
  <si>
    <t>RUE DE CASTILLE</t>
  </si>
  <si>
    <t>H1G3C8</t>
  </si>
  <si>
    <t>farapinthierre@gmail.com</t>
  </si>
  <si>
    <t>Daroowala, Kevin</t>
  </si>
  <si>
    <t>AVENUE DE BOIS-DE-BOULOGNE</t>
  </si>
  <si>
    <t>H3M2X1</t>
  </si>
  <si>
    <t>kevindaroowala@outlook.com</t>
  </si>
  <si>
    <t>Malaborsa, Cynthia</t>
  </si>
  <si>
    <t>RUE SUZOR COTÉ</t>
  </si>
  <si>
    <t>H3M2J2</t>
  </si>
  <si>
    <t>cmalaborsa@hotmail.com</t>
  </si>
  <si>
    <t>H1G2M6</t>
  </si>
  <si>
    <t>ROSEMONT BLVD</t>
  </si>
  <si>
    <t>Baradji, Idriss Bachir</t>
  </si>
  <si>
    <t>RUE MACKENZIE</t>
  </si>
  <si>
    <t>H3S1E4</t>
  </si>
  <si>
    <t>idrissbachirbaradji@gmail.com</t>
  </si>
  <si>
    <t>Noah, Thierry</t>
  </si>
  <si>
    <t>RUE JEANNE-LEBER</t>
  </si>
  <si>
    <t>H7E3W5</t>
  </si>
  <si>
    <t>tylerxx9@gmail.com</t>
  </si>
  <si>
    <t>Sciences humaines: Profil général avec maths</t>
  </si>
  <si>
    <t>Henuset, Marianne</t>
  </si>
  <si>
    <t>BOULEVARD SAINT-JEAN-BAPTISTE</t>
  </si>
  <si>
    <t>H1C1S4</t>
  </si>
  <si>
    <t>trone@hotmail.ca</t>
  </si>
  <si>
    <t>Cinel, Daphcar Cantin</t>
  </si>
  <si>
    <t>VIAU BLVD</t>
  </si>
  <si>
    <t>H1R2T8</t>
  </si>
  <si>
    <t>Daphcarcantin@outlook.com</t>
  </si>
  <si>
    <t>Nguyen, Wilson</t>
  </si>
  <si>
    <t>RUE CHABOT</t>
  </si>
  <si>
    <t>H2G2T4</t>
  </si>
  <si>
    <t>wilson.nguyen29@hotmail.com</t>
  </si>
  <si>
    <t>Bhatti, Azeem</t>
  </si>
  <si>
    <t>RUE THÉODORE</t>
  </si>
  <si>
    <t>H1V3C6</t>
  </si>
  <si>
    <t>azeemps3@hotmail.com</t>
  </si>
  <si>
    <t>Sciences informatiques et mathématiques</t>
  </si>
  <si>
    <t>Bourouis, Adem</t>
  </si>
  <si>
    <t>RUE DE L'AIGLON</t>
  </si>
  <si>
    <t>H1R3L7</t>
  </si>
  <si>
    <t>ademsalmib@gmail.com</t>
  </si>
  <si>
    <t>Akkar, Marwa</t>
  </si>
  <si>
    <t>RUE NOTRE-DAME OUEST</t>
  </si>
  <si>
    <t>H3J2L3</t>
  </si>
  <si>
    <t>marwaakkar@yahoo.fr</t>
  </si>
  <si>
    <t>Ben Soltane, Linda</t>
  </si>
  <si>
    <t>RUE BEAUBIEN EST</t>
  </si>
  <si>
    <t>H2G1L2</t>
  </si>
  <si>
    <t>lindabensol@gmail.com</t>
  </si>
  <si>
    <t>Navarro-Ramirez, Jessica</t>
  </si>
  <si>
    <t>DAGENAIS</t>
  </si>
  <si>
    <t>H1G1M8</t>
  </si>
  <si>
    <t>nabiigail.flor@yahoo.com</t>
  </si>
  <si>
    <t>Desgagné, Elliot</t>
  </si>
  <si>
    <t>elliotdesgagne@outlook.com</t>
  </si>
  <si>
    <t>19E AVENUE</t>
  </si>
  <si>
    <t>H2A2M3</t>
  </si>
  <si>
    <t>Ngaruko Sabatutsi, Roxane</t>
  </si>
  <si>
    <t>RUE DROLET</t>
  </si>
  <si>
    <t>H2S2S8</t>
  </si>
  <si>
    <t>r.ngaruko@gmail.com</t>
  </si>
  <si>
    <t>Hassaine, Faroudja</t>
  </si>
  <si>
    <t>RUE DES PERDRIX</t>
  </si>
  <si>
    <t>H7L4H8</t>
  </si>
  <si>
    <t>msfaroudja@gmail.com</t>
  </si>
  <si>
    <t>H1W2W8</t>
  </si>
  <si>
    <t>Riendeau, Coralie</t>
  </si>
  <si>
    <t>RUE LÉGER</t>
  </si>
  <si>
    <t>SALABERRY-DE-VALLEYFIELD</t>
  </si>
  <si>
    <t>J6S2S6</t>
  </si>
  <si>
    <t>cocolanaine@hotmail.com</t>
  </si>
  <si>
    <t>Amisial, Youdeline</t>
  </si>
  <si>
    <t>H1Z3T8</t>
  </si>
  <si>
    <t>youdelineamisial23@gmail.com</t>
  </si>
  <si>
    <t>Hamaizi, Hocine Abdelali</t>
  </si>
  <si>
    <t>BUREL</t>
  </si>
  <si>
    <t>H1S1H4</t>
  </si>
  <si>
    <t>hocinehmz16@gmail.com</t>
  </si>
  <si>
    <t>Toorabally, Mohammad</t>
  </si>
  <si>
    <t>PROMENADE DES ÎLES</t>
  </si>
  <si>
    <t>H7W3T1</t>
  </si>
  <si>
    <t>tsufyaan18@gmail.com</t>
  </si>
  <si>
    <t>Louis-Seize, Lestat</t>
  </si>
  <si>
    <t>RUE VIAU</t>
  </si>
  <si>
    <t>H1V3H5</t>
  </si>
  <si>
    <t>lesloui@live.com</t>
  </si>
  <si>
    <t>Depont, Thomas</t>
  </si>
  <si>
    <t>AVENUE 17E</t>
  </si>
  <si>
    <t>H1Z1H2</t>
  </si>
  <si>
    <t>thomasdepont@outlook.com</t>
  </si>
  <si>
    <t>Sciences humaines: Profil Monde et action citoyenne s</t>
  </si>
  <si>
    <t>Bassolé, Boubson Chrysler</t>
  </si>
  <si>
    <t>RUE WESTGATE</t>
  </si>
  <si>
    <t>J4K4R6</t>
  </si>
  <si>
    <t>chrysler1900@hotmail.fr</t>
  </si>
  <si>
    <t>Alusma, Marie Lineda</t>
  </si>
  <si>
    <t>AVENUE ARMAND-LAVERGNE</t>
  </si>
  <si>
    <t>H1H3P2</t>
  </si>
  <si>
    <t>Lindsayalusma@gmail.com</t>
  </si>
  <si>
    <t>RUE SHERBROOKE EST</t>
  </si>
  <si>
    <t>H1N0E2</t>
  </si>
  <si>
    <t>Auger, Michelle</t>
  </si>
  <si>
    <t>RUE DE LA GAUCHETIÈRE</t>
  </si>
  <si>
    <t>H1B2H2</t>
  </si>
  <si>
    <t>mimi031200@hotmail.fr</t>
  </si>
  <si>
    <t>17E AVENUE</t>
  </si>
  <si>
    <t>Jaber, Celena-Mia</t>
  </si>
  <si>
    <t>DU HAUT-ANJOU BLVD</t>
  </si>
  <si>
    <t>H1J1V2</t>
  </si>
  <si>
    <t>celenamia@aol.com</t>
  </si>
  <si>
    <t>Sciences humaines: Profil général sans maths</t>
  </si>
  <si>
    <t>RUE SAINTE-CATHERINE EST</t>
  </si>
  <si>
    <t>Bencherif, Azzeddine</t>
  </si>
  <si>
    <t>AVENUE LAROSE</t>
  </si>
  <si>
    <t>H2B2Y7</t>
  </si>
  <si>
    <t>vaitvodaoo@hotmail.com</t>
  </si>
  <si>
    <t>Vieira, Kevin</t>
  </si>
  <si>
    <t>RENÉ-LÉVESQUE BLVD O</t>
  </si>
  <si>
    <t>H3B4W8</t>
  </si>
  <si>
    <t>kevin-vieira68@hotmail.fr</t>
  </si>
  <si>
    <t>Pierre-Victor, Leondjy Jackley</t>
  </si>
  <si>
    <t>AVENUE ANDRÉ AMPÈRE</t>
  </si>
  <si>
    <t>H1E6R3</t>
  </si>
  <si>
    <t>keyou366@gmail.com</t>
  </si>
  <si>
    <t>Devu, Gabriel</t>
  </si>
  <si>
    <t>RUE MÉNARD</t>
  </si>
  <si>
    <t>CHARLEMAGNE</t>
  </si>
  <si>
    <t>J5Z2A3</t>
  </si>
  <si>
    <t>devu.gabriel@gmail.com</t>
  </si>
  <si>
    <t>H1X2B7</t>
  </si>
  <si>
    <t>Joasar, Gresheile Ilary</t>
  </si>
  <si>
    <t>RUE ALAIN GRANDBOIS</t>
  </si>
  <si>
    <t>H4N3C6</t>
  </si>
  <si>
    <t>gresheilehjoasar@hotmail.com</t>
  </si>
  <si>
    <t>PLACE DE DARLINGTON</t>
  </si>
  <si>
    <t>H3S1L5</t>
  </si>
  <si>
    <t>Lamour, Catherine</t>
  </si>
  <si>
    <t>7E AVENUE</t>
  </si>
  <si>
    <t>H1Y2N3</t>
  </si>
  <si>
    <t>ca.lamour@outlook.com</t>
  </si>
  <si>
    <t>Lamer, Maxime</t>
  </si>
  <si>
    <t>H1G3N4</t>
  </si>
  <si>
    <t>lamerm@outlook.com</t>
  </si>
  <si>
    <t>Falayon, Genika</t>
  </si>
  <si>
    <t>BOULEVARD LANGELIER</t>
  </si>
  <si>
    <t>H1G3M2</t>
  </si>
  <si>
    <t>genikafalayon@gmail.com</t>
  </si>
  <si>
    <t>RUE CHAMBORD</t>
  </si>
  <si>
    <t>Milongo, Serge</t>
  </si>
  <si>
    <t>RUE SHERBROOK EST</t>
  </si>
  <si>
    <t>H1W1C7</t>
  </si>
  <si>
    <t>guoubadia1@gmail.com</t>
  </si>
  <si>
    <t>Hariz, Redouane</t>
  </si>
  <si>
    <t>DE LA CÔTE-VERTU BLVD</t>
  </si>
  <si>
    <t>H4N1E5</t>
  </si>
  <si>
    <t>hzzhari@gmail.com</t>
  </si>
  <si>
    <t>Kourouma, Fatoumata</t>
  </si>
  <si>
    <t>AVENUE FONTEVRAULT</t>
  </si>
  <si>
    <t>ANJOU</t>
  </si>
  <si>
    <t>H1J1E1</t>
  </si>
  <si>
    <t>kouroumafatoumata47@gmail.com</t>
  </si>
  <si>
    <t>Trii, Chadi</t>
  </si>
  <si>
    <t>RUE BEAUPRÉ</t>
  </si>
  <si>
    <t>J5Z1B4</t>
  </si>
  <si>
    <t>triichadi@gmail.com</t>
  </si>
  <si>
    <t>Sertune, Steevenson</t>
  </si>
  <si>
    <t>ROLLAND BLVD</t>
  </si>
  <si>
    <t>H1G3V7</t>
  </si>
  <si>
    <t>steevsertun@hotmail.com</t>
  </si>
  <si>
    <t>Benyahia, Nihel Rania</t>
  </si>
  <si>
    <t>RUE ARIANE</t>
  </si>
  <si>
    <t>H7A1E3</t>
  </si>
  <si>
    <t>nihel0361@gmail.com</t>
  </si>
  <si>
    <t>Gharbi, Walid</t>
  </si>
  <si>
    <t>RUE DUCHESNEAU</t>
  </si>
  <si>
    <t>H1K0G2</t>
  </si>
  <si>
    <t>w.gharbi.tangerine@gmail.com</t>
  </si>
  <si>
    <t>AVENUE OVIDE-CLERMONT</t>
  </si>
  <si>
    <t>H1G3Y9</t>
  </si>
  <si>
    <t>H2E2J2</t>
  </si>
  <si>
    <t>Wang, Jian Hua</t>
  </si>
  <si>
    <t>RUE LAJEUNESSE</t>
  </si>
  <si>
    <t>H2R2J7</t>
  </si>
  <si>
    <t>hwng030@gmail.com</t>
  </si>
  <si>
    <t>LA PRAIRIE</t>
  </si>
  <si>
    <t>El Harch, Imane</t>
  </si>
  <si>
    <t>RUE BARNES</t>
  </si>
  <si>
    <t>H4K1L2</t>
  </si>
  <si>
    <t>imane.rocma212@yahoo.com</t>
  </si>
  <si>
    <t>Juste Devalcy, Micaëlle</t>
  </si>
  <si>
    <t>RUE NOTRE-DAME</t>
  </si>
  <si>
    <t>J6A2V9</t>
  </si>
  <si>
    <t>micaellejuste@live.fr</t>
  </si>
  <si>
    <t>AVENUE PELLETIER</t>
  </si>
  <si>
    <t>H1H3S4</t>
  </si>
  <si>
    <t>Hassouna, Marwa</t>
  </si>
  <si>
    <t>15E AVENUE</t>
  </si>
  <si>
    <t>H1Z3N9</t>
  </si>
  <si>
    <t>hassounamarwa@hotmail.com</t>
  </si>
  <si>
    <t>Marcelin, Billy</t>
  </si>
  <si>
    <t>BOULEVARD SAINT-MARTIN</t>
  </si>
  <si>
    <t>H7E4X7</t>
  </si>
  <si>
    <t>billymarcelin@gmail.com</t>
  </si>
  <si>
    <t>Al Cheikh Ali, Mahmoud</t>
  </si>
  <si>
    <t>AVENUE AIMÉ-BIBEAU</t>
  </si>
  <si>
    <t>H7C2K8</t>
  </si>
  <si>
    <t>mahmoudalc2000@yahoo.com</t>
  </si>
  <si>
    <t>Rosa, Paméla</t>
  </si>
  <si>
    <t>RUE MCKENZIE</t>
  </si>
  <si>
    <t>J6W4E4</t>
  </si>
  <si>
    <t>pamela-rosa4@hotmail.com</t>
  </si>
  <si>
    <t>Blouin, Mégane</t>
  </si>
  <si>
    <t>RUE DES HIRONDELLES</t>
  </si>
  <si>
    <t>J7M1K6</t>
  </si>
  <si>
    <t>meganeblouin@icloud.com</t>
  </si>
  <si>
    <t>Pelletier, Emily</t>
  </si>
  <si>
    <t>BOULEVARD DE LA MAGDELEINE</t>
  </si>
  <si>
    <t>J5R4M6</t>
  </si>
  <si>
    <t>retro_98_2007@hotmail.com</t>
  </si>
  <si>
    <t>Joseph, Lunie</t>
  </si>
  <si>
    <t>JUNE</t>
  </si>
  <si>
    <t>DOLLARD-DES-ORMEAUX</t>
  </si>
  <si>
    <t>H9G2J6</t>
  </si>
  <si>
    <t>luniejoseph@outlook.com</t>
  </si>
  <si>
    <t>Kuankep Nguessi, Linda Orline</t>
  </si>
  <si>
    <t>RUE DE SAN REMO</t>
  </si>
  <si>
    <t>H1P1X1</t>
  </si>
  <si>
    <t>Klindaorline@yahoo.fr</t>
  </si>
  <si>
    <t>Lopez Sanz, Maria Isabel</t>
  </si>
  <si>
    <t>BOULEVARD PERRAS</t>
  </si>
  <si>
    <t>H1C2H7</t>
  </si>
  <si>
    <t>isa.belll.27@hotmail.com</t>
  </si>
  <si>
    <t>H3S1J6</t>
  </si>
  <si>
    <t>Hamelin, Gabriel</t>
  </si>
  <si>
    <t>H2R2C8</t>
  </si>
  <si>
    <t>gabrielhamelin98@gmail.com</t>
  </si>
  <si>
    <t>Gagné-Lachance, Annaëlle</t>
  </si>
  <si>
    <t>H2K4G3</t>
  </si>
  <si>
    <t>annaellelachance@gmail.com</t>
  </si>
  <si>
    <t>Sequeira Campos, Heyling Vanessa</t>
  </si>
  <si>
    <t>11E AVENUE</t>
  </si>
  <si>
    <t>H8S3H5</t>
  </si>
  <si>
    <t>heylingcampos25@hotmail.com</t>
  </si>
  <si>
    <t>Mangaptche Younang, Manuela</t>
  </si>
  <si>
    <t>RUE SENNEVILLE</t>
  </si>
  <si>
    <t>J5Y2B4</t>
  </si>
  <si>
    <t>younangm@yahoo.fr</t>
  </si>
  <si>
    <t>Gingras, Ariane</t>
  </si>
  <si>
    <t>RANG DE LA GRANDE CHALOUPE</t>
  </si>
  <si>
    <t>SAINT-THOMAS</t>
  </si>
  <si>
    <t>J0K3L0</t>
  </si>
  <si>
    <t>gingrasariane@gmail.com</t>
  </si>
  <si>
    <t>Bakhta, Loubna</t>
  </si>
  <si>
    <t>RUE DE CHEVILLON</t>
  </si>
  <si>
    <t>H7N6H2</t>
  </si>
  <si>
    <t>loubi_13@hotmail.com</t>
  </si>
  <si>
    <t>St-Onge, Émilie</t>
  </si>
  <si>
    <t>RUE ONTARIO E</t>
  </si>
  <si>
    <t>H2K0A8</t>
  </si>
  <si>
    <t>emilie_st-onge@hotmail.fr</t>
  </si>
  <si>
    <t>Atmani, Abdelaziz</t>
  </si>
  <si>
    <t>RUE DE PONTMAIN</t>
  </si>
  <si>
    <t>H1R2R8</t>
  </si>
  <si>
    <t>abdelazizatmani82@gmail.com</t>
  </si>
  <si>
    <t>Desrosiers, Samuel</t>
  </si>
  <si>
    <t>AV LÉVESQUE</t>
  </si>
  <si>
    <t>H1K2R2</t>
  </si>
  <si>
    <t>s_desrosiers1@hotmail.com</t>
  </si>
  <si>
    <t>Foster, Delphine</t>
  </si>
  <si>
    <t>RUE DE VANIER</t>
  </si>
  <si>
    <t>MERCIER</t>
  </si>
  <si>
    <t>J6R1A8</t>
  </si>
  <si>
    <t>del.ph9@hotmail.fr</t>
  </si>
  <si>
    <t>Fournier, Kariane</t>
  </si>
  <si>
    <t>RANG DU RUISSEAU</t>
  </si>
  <si>
    <t>SAINTE-ÉLISABETH</t>
  </si>
  <si>
    <t>J0K2J0</t>
  </si>
  <si>
    <t>kkaarrii_10@hotmail.com</t>
  </si>
  <si>
    <t>Lassoued, Hichem</t>
  </si>
  <si>
    <t>RUE DE BEAURIVAGE</t>
  </si>
  <si>
    <t>H1L5W8</t>
  </si>
  <si>
    <t>hichemlassoued58@gmail.com</t>
  </si>
  <si>
    <t>Chebila, Dahbia</t>
  </si>
  <si>
    <t>23E AVENUE</t>
  </si>
  <si>
    <t>H1Z3X6</t>
  </si>
  <si>
    <t>dchebila3@gmail.com</t>
  </si>
  <si>
    <t>Mabtoule, Nour</t>
  </si>
  <si>
    <t>AVENUE JEANNE-D'ARC</t>
  </si>
  <si>
    <t>H1X2G1</t>
  </si>
  <si>
    <t>mabtoulenour@gmail.com</t>
  </si>
  <si>
    <t>Ahsan, Sarah</t>
  </si>
  <si>
    <t>42E RUE</t>
  </si>
  <si>
    <t>H1Z1S1</t>
  </si>
  <si>
    <t>sarahahsan0001@gmail.com</t>
  </si>
  <si>
    <t>Hamel, Julia</t>
  </si>
  <si>
    <t>RUE SÉGUIN</t>
  </si>
  <si>
    <t>H7R2V2</t>
  </si>
  <si>
    <t>juliahamel98@gmail.com</t>
  </si>
  <si>
    <t>Arulampalam, Thadchajini</t>
  </si>
  <si>
    <t>TORRENT</t>
  </si>
  <si>
    <t>VAUDREUIL DORION</t>
  </si>
  <si>
    <t>J7V0E3</t>
  </si>
  <si>
    <t>thadcha0107@gmail.com</t>
  </si>
  <si>
    <t>Kitenge Baruti, Isaac</t>
  </si>
  <si>
    <t>RUE JEAN-TALON E</t>
  </si>
  <si>
    <t>H1S1M8</t>
  </si>
  <si>
    <t>isaacbarutti@gmail.com</t>
  </si>
  <si>
    <t>Prophete, Olivier Hardy</t>
  </si>
  <si>
    <t>RUE SAUVÉ EST</t>
  </si>
  <si>
    <t>H2B1A1</t>
  </si>
  <si>
    <t>olivierziko3@gmail.com</t>
  </si>
  <si>
    <t>Ait Adda, Ouerdia</t>
  </si>
  <si>
    <t>RUE MOREL</t>
  </si>
  <si>
    <t>J6A3E8</t>
  </si>
  <si>
    <t>wiwiatd@gmail.com</t>
  </si>
  <si>
    <t>Campeau, Lili-Charlotte</t>
  </si>
  <si>
    <t>29E AVENUE</t>
  </si>
  <si>
    <t>H1T3H5</t>
  </si>
  <si>
    <t>lilichat@live.ca</t>
  </si>
  <si>
    <t>Ait Souar, Kahina</t>
  </si>
  <si>
    <t>RUE COPERNIC</t>
  </si>
  <si>
    <t>H1R3M5</t>
  </si>
  <si>
    <t>kahina1203@live.fr</t>
  </si>
  <si>
    <t>Castonguay, Noémie</t>
  </si>
  <si>
    <t>RUE DE CADILLAC</t>
  </si>
  <si>
    <t>H1M2L8</t>
  </si>
  <si>
    <t>noecastonguay@hotmail.ca</t>
  </si>
  <si>
    <t>Charlot-Chartrand, Ashley</t>
  </si>
  <si>
    <t>BOULEVARD NOTRE DAME</t>
  </si>
  <si>
    <t>H7V3X3</t>
  </si>
  <si>
    <t>Ashloucharlot@gmail.com</t>
  </si>
  <si>
    <t>Gomez-Zurita, Manuel-Alejandro</t>
  </si>
  <si>
    <t>BOULEVARD SAINT-MICHEL</t>
  </si>
  <si>
    <t>H1Y3G6</t>
  </si>
  <si>
    <t>Alexcool_900@hotmail.com</t>
  </si>
  <si>
    <t>Tsouri Ben Tsouri, Adelane</t>
  </si>
  <si>
    <t>AV VAN HORNE</t>
  </si>
  <si>
    <t>adelanetsouri@gmail.com</t>
  </si>
  <si>
    <t>Harrar, Yasmine</t>
  </si>
  <si>
    <t>4E AVENUE</t>
  </si>
  <si>
    <t>H1Y2V2</t>
  </si>
  <si>
    <t>yasmineca@outlook.com</t>
  </si>
  <si>
    <t>RUE WAVERLY</t>
  </si>
  <si>
    <t>H2T2Y2</t>
  </si>
  <si>
    <t>Melgar-Ruiz, Juan Angel</t>
  </si>
  <si>
    <t>RUE DE VÉRONE</t>
  </si>
  <si>
    <t>H1P3E2</t>
  </si>
  <si>
    <t>melgar.juan.ruiz@hotmail.com</t>
  </si>
  <si>
    <t>Ouattara, Katienin Alimata</t>
  </si>
  <si>
    <t>AVENUE MOUNTAIN SIGHTS</t>
  </si>
  <si>
    <t>H4P2B1</t>
  </si>
  <si>
    <t>katielovemtl@gmail.com</t>
  </si>
  <si>
    <t>Wallend, Jacinthe</t>
  </si>
  <si>
    <t>H2B1V4</t>
  </si>
  <si>
    <t>Jacinthewallend94@gmail.com</t>
  </si>
  <si>
    <t>Muradi, Eltaf Shah</t>
  </si>
  <si>
    <t>RUE EDMOND-ROSTAND</t>
  </si>
  <si>
    <t>H7P5Y5</t>
  </si>
  <si>
    <t>eltaf-muradi@live.fr</t>
  </si>
  <si>
    <t>Zafra Bataille, Eric</t>
  </si>
  <si>
    <t>H1G5V5</t>
  </si>
  <si>
    <t>zafra-eric@hotmail.com</t>
  </si>
  <si>
    <t>Tabet, Yahya</t>
  </si>
  <si>
    <t>RUE FORSYTH</t>
  </si>
  <si>
    <t>H1A5L6</t>
  </si>
  <si>
    <t>Yahyatab02@outlook.com</t>
  </si>
  <si>
    <t>Fayad, Jamil</t>
  </si>
  <si>
    <t>BOULEVARD LAIRD</t>
  </si>
  <si>
    <t>MONT-ROYAL</t>
  </si>
  <si>
    <t>H3R1Y9</t>
  </si>
  <si>
    <t>jamilfayad@hotmail.ca</t>
  </si>
  <si>
    <t>Sciences humaines: Profil Administration des affaires</t>
  </si>
  <si>
    <t>Omeir, Karim</t>
  </si>
  <si>
    <t>PARKVILLE</t>
  </si>
  <si>
    <t>H1N3B1</t>
  </si>
  <si>
    <t>karimomeir16@gmail.com</t>
  </si>
  <si>
    <t>Option Cinéma</t>
  </si>
  <si>
    <t>Hawili, Mustapha</t>
  </si>
  <si>
    <t>H1X2T7</t>
  </si>
  <si>
    <t>mustapha15prime@gmail.com</t>
  </si>
  <si>
    <t>Castonguay, Laura</t>
  </si>
  <si>
    <t>BOULEVARD DE L'ACADIE</t>
  </si>
  <si>
    <t>H3N2W1</t>
  </si>
  <si>
    <t>lauracastonguay98@gmail.com</t>
  </si>
  <si>
    <t>Cagnon, Marine Margot Madeleine</t>
  </si>
  <si>
    <t>RUE PEEL</t>
  </si>
  <si>
    <t>H3A2M1</t>
  </si>
  <si>
    <t>marine.cagnon@gmail.com</t>
  </si>
  <si>
    <t>Manaf, Soulaimane</t>
  </si>
  <si>
    <t>soulaimanemanaf@gmail.com</t>
  </si>
  <si>
    <t>Desmarchais, Olivier</t>
  </si>
  <si>
    <t>RUE POUPART</t>
  </si>
  <si>
    <t>H2K3G9</t>
  </si>
  <si>
    <t>olivierdesmarchais@hotmail.com</t>
  </si>
  <si>
    <t>Malenda, Maurel</t>
  </si>
  <si>
    <t>AV DE VERNEUIL</t>
  </si>
  <si>
    <t>H1K3J6</t>
  </si>
  <si>
    <t>maurelmalenda@gmail.com</t>
  </si>
  <si>
    <t>Escalona De Abreu, Rafael Eduardo</t>
  </si>
  <si>
    <t>AVENUE MADISON</t>
  </si>
  <si>
    <t>H4B2T6</t>
  </si>
  <si>
    <t>rafaelseriousd@gmail.com</t>
  </si>
  <si>
    <t>Alexandre, Anderson</t>
  </si>
  <si>
    <t>AVENUE MOUSSEAU</t>
  </si>
  <si>
    <t>H1K4N7</t>
  </si>
  <si>
    <t>anderson2504@icloud.com</t>
  </si>
  <si>
    <t>Hernandez Astapenko, Beatriz</t>
  </si>
  <si>
    <t>RUE CHENET</t>
  </si>
  <si>
    <t>H1P2H7</t>
  </si>
  <si>
    <t>beatrizha.12572@gmail.com</t>
  </si>
  <si>
    <t>Takam, Edwige Laure</t>
  </si>
  <si>
    <t>BOULEVARD DE LA CONCORDE OUEST</t>
  </si>
  <si>
    <t>H7N1J4</t>
  </si>
  <si>
    <t>edwigetakamlaure@yahoo.fr</t>
  </si>
  <si>
    <t>Suzan, Jeff</t>
  </si>
  <si>
    <t>AVENUE PIGEON</t>
  </si>
  <si>
    <t>H1K3K6</t>
  </si>
  <si>
    <t>jeffsuzan2002@gmail.com</t>
  </si>
  <si>
    <t>Lerouge, Jean-Gabriel</t>
  </si>
  <si>
    <t>AV DE BRUCHÉSI</t>
  </si>
  <si>
    <t>H1Z2P7</t>
  </si>
  <si>
    <t>jgabriel.lerouge@gmail.com</t>
  </si>
  <si>
    <t>RUE DES PRIMEVÈRES</t>
  </si>
  <si>
    <t>J5Y4A6</t>
  </si>
  <si>
    <t>Ekram, Hamza</t>
  </si>
  <si>
    <t>RUE BIRNAM</t>
  </si>
  <si>
    <t>H3N2S7</t>
  </si>
  <si>
    <t>hamza.ekram786@gmail.com</t>
  </si>
  <si>
    <t>RUE SAINT-ZOTIQUE EST</t>
  </si>
  <si>
    <t>Jaiswal, Amanjeet Singh</t>
  </si>
  <si>
    <t>H1G5T8</t>
  </si>
  <si>
    <t>amanjeet@hotmail.ca</t>
  </si>
  <si>
    <t>Le Bris, Yvan</t>
  </si>
  <si>
    <t>RUE DE BORDEAUX</t>
  </si>
  <si>
    <t>H2E2M7</t>
  </si>
  <si>
    <t>yvanlebris@gmail.com</t>
  </si>
  <si>
    <t>Caron, Kevin</t>
  </si>
  <si>
    <t>RUE PERRIER</t>
  </si>
  <si>
    <t>J5R5X8</t>
  </si>
  <si>
    <t>k.caron17@hotmail.com</t>
  </si>
  <si>
    <t>Vienneau, Joël</t>
  </si>
  <si>
    <t>H1B4A6</t>
  </si>
  <si>
    <t>joelvienneau1@gmail.com</t>
  </si>
  <si>
    <t>Chan, Diana</t>
  </si>
  <si>
    <t>RUE DÉCARIE</t>
  </si>
  <si>
    <t>H4L3N2</t>
  </si>
  <si>
    <t>dianachanxp@gmail.com</t>
  </si>
  <si>
    <t>Michel, Maéva-W</t>
  </si>
  <si>
    <t>BOULEVARD LÉGER</t>
  </si>
  <si>
    <t>H1G6J2</t>
  </si>
  <si>
    <t>michelmaeva2@gmail.com</t>
  </si>
  <si>
    <t>RUE DES ORMEAUX</t>
  </si>
  <si>
    <t>Fils-Aimé, Paul-Erick</t>
  </si>
  <si>
    <t>AVENUE SHELLEY</t>
  </si>
  <si>
    <t>H2A2Z1</t>
  </si>
  <si>
    <t>laup7171@outlook.com</t>
  </si>
  <si>
    <t>Beaudry, Liam</t>
  </si>
  <si>
    <t>RUE DES SPIRÉES</t>
  </si>
  <si>
    <t>H7X1G2</t>
  </si>
  <si>
    <t>liam.liam.beaudry@gmail.com</t>
  </si>
  <si>
    <t>Méribout, Youcef</t>
  </si>
  <si>
    <t>RUE JEAN-TALON OUEST</t>
  </si>
  <si>
    <t>H1S1M9</t>
  </si>
  <si>
    <t>ymeribout02@gmail.com</t>
  </si>
  <si>
    <t>Chaouch, Nadine Myshka</t>
  </si>
  <si>
    <t>43E AV</t>
  </si>
  <si>
    <t>H8P3B5</t>
  </si>
  <si>
    <t>myshka2002@gmail.com</t>
  </si>
  <si>
    <t>Staco, Mie Christine Elizabeth</t>
  </si>
  <si>
    <t>AVENUE DU PARC</t>
  </si>
  <si>
    <t>H7N3X2</t>
  </si>
  <si>
    <t>christinestaco@outlook.com</t>
  </si>
  <si>
    <t>Djema, Yacine</t>
  </si>
  <si>
    <t>H2E2J3</t>
  </si>
  <si>
    <t>rdjema@gmail.com</t>
  </si>
  <si>
    <t>Joseph, Armsky</t>
  </si>
  <si>
    <t>AVENUE BALZAC</t>
  </si>
  <si>
    <t>H1H3M1</t>
  </si>
  <si>
    <t>armsky@hotmail.ca</t>
  </si>
  <si>
    <t>Denoyé, Hermance Tiana</t>
  </si>
  <si>
    <t>BOULEVARD LACORDAIRE</t>
  </si>
  <si>
    <t>H1G4K4</t>
  </si>
  <si>
    <t>tiana-love@hotmail.ca</t>
  </si>
  <si>
    <t>Lu, Guobo</t>
  </si>
  <si>
    <t>CHEMIN MARIE LE BER</t>
  </si>
  <si>
    <t>H3E1T3</t>
  </si>
  <si>
    <t>luguobo2018@gmail.com</t>
  </si>
  <si>
    <t>Medouar, Chahrazed</t>
  </si>
  <si>
    <t>RUE COULONGE</t>
  </si>
  <si>
    <t>J4G1T9</t>
  </si>
  <si>
    <t>cmedouar@gmail.com</t>
  </si>
  <si>
    <t>Misin, Valerii</t>
  </si>
  <si>
    <t>RENAISSANCE</t>
  </si>
  <si>
    <t>H7L4L1</t>
  </si>
  <si>
    <t>val.m12@yahoo.com</t>
  </si>
  <si>
    <t>Varin, Wyatt-Derek</t>
  </si>
  <si>
    <t>RUE VILLEBON</t>
  </si>
  <si>
    <t>J6A1P4</t>
  </si>
  <si>
    <t>wyrek@hotmail.ca</t>
  </si>
  <si>
    <t>Gestionnaire de réseaux Linux et Windows</t>
  </si>
  <si>
    <t>Kaur, Sukhdeep Rakhra</t>
  </si>
  <si>
    <t>RUE DES ALISMAS</t>
  </si>
  <si>
    <t>H7X4G9</t>
  </si>
  <si>
    <t>suki0493@gmail.com</t>
  </si>
  <si>
    <t>Métellus, Bryce</t>
  </si>
  <si>
    <t>AVENUE DE BELLEVILLE</t>
  </si>
  <si>
    <t>H1H4Z8</t>
  </si>
  <si>
    <t>brycedonaven@gmail.com</t>
  </si>
  <si>
    <t>Parent, Emmy</t>
  </si>
  <si>
    <t>H1R2A9</t>
  </si>
  <si>
    <t>naniblou@outlook.com</t>
  </si>
  <si>
    <t>Hadji, Yasmine</t>
  </si>
  <si>
    <t>20E AV</t>
  </si>
  <si>
    <t>H1X2J5</t>
  </si>
  <si>
    <t>hadjiyasmine@gmail.com</t>
  </si>
  <si>
    <t>Alvarez Rojo, Osiris</t>
  </si>
  <si>
    <t>H2A2G7</t>
  </si>
  <si>
    <t>osirisalv7@outlook.com</t>
  </si>
  <si>
    <t>Joseph, Chalotte Misleydha</t>
  </si>
  <si>
    <t>RUE ZOÉE-DUHAMEL</t>
  </si>
  <si>
    <t>J5W0N6</t>
  </si>
  <si>
    <t>charlottejoseph25@outlook.com</t>
  </si>
  <si>
    <t>Girard, Lauré-Anne</t>
  </si>
  <si>
    <t>RUE DE CHANAZ</t>
  </si>
  <si>
    <t>BLAINVILLE</t>
  </si>
  <si>
    <t>J7C3J2</t>
  </si>
  <si>
    <t>lolo_2000@icloud.com</t>
  </si>
  <si>
    <t>Amer, Yudas</t>
  </si>
  <si>
    <t>AVENUE DE LA LOIRE</t>
  </si>
  <si>
    <t>H1K3L5</t>
  </si>
  <si>
    <t>yudasamer@hotmail.com</t>
  </si>
  <si>
    <t>Beaulieu, Elodie</t>
  </si>
  <si>
    <t>RUE SHERBROOKE E</t>
  </si>
  <si>
    <t>H2L1L5</t>
  </si>
  <si>
    <t>elodiebeau@hotmail.com</t>
  </si>
  <si>
    <t>Marsan, Hélène</t>
  </si>
  <si>
    <t>H1T2Y7</t>
  </si>
  <si>
    <t>helenemarsan@hotmail.com</t>
  </si>
  <si>
    <t>Nzila, Bruny Loïc</t>
  </si>
  <si>
    <t>H1B3M3</t>
  </si>
  <si>
    <t>bruny.nzila@yahoo.com</t>
  </si>
  <si>
    <t>Breton, Anne-Sophie</t>
  </si>
  <si>
    <t>RUE MONSABRÉ</t>
  </si>
  <si>
    <t>H1N2K2</t>
  </si>
  <si>
    <t>anne_so2002@hotmail.com</t>
  </si>
  <si>
    <t>Meddahi, Fatimazahra</t>
  </si>
  <si>
    <t>AV DE MALICORNE</t>
  </si>
  <si>
    <t>H1M2W9</t>
  </si>
  <si>
    <t>Fmeddahi19@gmail.com</t>
  </si>
  <si>
    <t>AVENUE CHARTON</t>
  </si>
  <si>
    <t>AVENUE ALFRED</t>
  </si>
  <si>
    <t>H2G2V8</t>
  </si>
  <si>
    <t>Villena Juarez, Piero Farid</t>
  </si>
  <si>
    <t>AVENUE GILBERT - BARBIER</t>
  </si>
  <si>
    <t>H1E4S6</t>
  </si>
  <si>
    <t>pierovillena@hotmail.com</t>
  </si>
  <si>
    <t>Beauvil, Jimson</t>
  </si>
  <si>
    <t>RUE DE BELLEFEUILLE</t>
  </si>
  <si>
    <t>H1S1C2</t>
  </si>
  <si>
    <t>beajim02@gmail.com</t>
  </si>
  <si>
    <t>Djellouli, Mahdi</t>
  </si>
  <si>
    <t>RUE MIGNAULT</t>
  </si>
  <si>
    <t>H1M1Z1</t>
  </si>
  <si>
    <t>djellouli5656@gmail.com</t>
  </si>
  <si>
    <t>Debard, Catherine</t>
  </si>
  <si>
    <t>RUE DUROCHER</t>
  </si>
  <si>
    <t>H3N2A4</t>
  </si>
  <si>
    <t>c.debard@protonmail.com</t>
  </si>
  <si>
    <t>Godon, Vanessa</t>
  </si>
  <si>
    <t>RUE EUGÉNIE-TESSIER</t>
  </si>
  <si>
    <t>H1A0A2</t>
  </si>
  <si>
    <t>vanessagodon@hotmail.com</t>
  </si>
  <si>
    <t>Landry, Eloïse</t>
  </si>
  <si>
    <t>landry.eloise@gmail.com</t>
  </si>
  <si>
    <t>43E AVENUE</t>
  </si>
  <si>
    <t>H1T2R5</t>
  </si>
  <si>
    <t>Noona, Dana</t>
  </si>
  <si>
    <t>BÉLANGER</t>
  </si>
  <si>
    <t>H1X1B2</t>
  </si>
  <si>
    <t>dana.noona4@gmail.com</t>
  </si>
  <si>
    <t>Dieguez Perugorria, Thais</t>
  </si>
  <si>
    <t>CHARTRAND</t>
  </si>
  <si>
    <t>J6W2L2</t>
  </si>
  <si>
    <t>thaisdieguez18@hotmail.com</t>
  </si>
  <si>
    <t>Flores-Valenciano, Angela</t>
  </si>
  <si>
    <t>RUE GIRAUD</t>
  </si>
  <si>
    <t>H7X3J7</t>
  </si>
  <si>
    <t>angelflorevalen@gmail.com</t>
  </si>
  <si>
    <t>Sawadogo, Safinata</t>
  </si>
  <si>
    <t>H3N2Z2</t>
  </si>
  <si>
    <t>safinatasawadogo@yahoo.fr</t>
  </si>
  <si>
    <t>François, Kely</t>
  </si>
  <si>
    <t>H1G5Y4</t>
  </si>
  <si>
    <t>kely371@gmail.com</t>
  </si>
  <si>
    <t>Dorisme, Kinsara</t>
  </si>
  <si>
    <t>AV SALK</t>
  </si>
  <si>
    <t>H1G4Z3</t>
  </si>
  <si>
    <t>sawounadorisme@gmail.com</t>
  </si>
  <si>
    <t>Boudreau, Nicolas</t>
  </si>
  <si>
    <t>H1X3R2</t>
  </si>
  <si>
    <t>contactboudreau@gmail.com</t>
  </si>
  <si>
    <t>Jourdain, Gracieuse</t>
  </si>
  <si>
    <t>RUE BAILLARGEON</t>
  </si>
  <si>
    <t>J3Y2A9</t>
  </si>
  <si>
    <t>gracieuse.jourdain@gmail.com</t>
  </si>
  <si>
    <t>Rocha, Maria Angélica</t>
  </si>
  <si>
    <t>RUE DE PORT-ROYAL</t>
  </si>
  <si>
    <t>H7E4H2</t>
  </si>
  <si>
    <t>m.angelica.rocha@outlook.com</t>
  </si>
  <si>
    <t>Simard, Ariane</t>
  </si>
  <si>
    <t>RUE TURGEON</t>
  </si>
  <si>
    <t>SAGUENAY</t>
  </si>
  <si>
    <t>G7H2T8</t>
  </si>
  <si>
    <t>ariane10sim@hotmail.com</t>
  </si>
  <si>
    <t>Hountondji, Orphéric Montel</t>
  </si>
  <si>
    <t>H1M2B3</t>
  </si>
  <si>
    <t>orphericmontel@gmail.com</t>
  </si>
  <si>
    <t>Tremblay, Enrick</t>
  </si>
  <si>
    <t>etree036@gmail.com</t>
  </si>
  <si>
    <t>Senhaji, Meriame</t>
  </si>
  <si>
    <t>AVENUE DE LA PÉPINIÈRE</t>
  </si>
  <si>
    <t>H1N2X8</t>
  </si>
  <si>
    <t>Rimasen1994@gmail.com</t>
  </si>
  <si>
    <t>RUE CHAMINADE</t>
  </si>
  <si>
    <t>Saint-Vil, Sao Leutz</t>
  </si>
  <si>
    <t>RUE RABELAIS</t>
  </si>
  <si>
    <t>J5Y4E8</t>
  </si>
  <si>
    <t>saol12red@gmail.com</t>
  </si>
  <si>
    <t>Belloua, Rayane</t>
  </si>
  <si>
    <t>RUE DE NANTÈS</t>
  </si>
  <si>
    <t>J5Y3E1</t>
  </si>
  <si>
    <t>bellouarayane@gmail.com</t>
  </si>
  <si>
    <t>de Widerspach-Thor, Baptiste</t>
  </si>
  <si>
    <t>DE L'ACADIE BLVD</t>
  </si>
  <si>
    <t>H3N2W3</t>
  </si>
  <si>
    <t>baptiste.stwi@gmail.com</t>
  </si>
  <si>
    <t>Bouvier, Julianne</t>
  </si>
  <si>
    <t>H2G3C1</t>
  </si>
  <si>
    <t>bouvier.julianne@gmail.com</t>
  </si>
  <si>
    <t>Farahat, Dina</t>
  </si>
  <si>
    <t>RUE EVARISTE-CHAURETTE</t>
  </si>
  <si>
    <t>PIERREFONDS</t>
  </si>
  <si>
    <t>H9J4E1</t>
  </si>
  <si>
    <t>dfarahat87@gmail.com</t>
  </si>
  <si>
    <t>Noucair, Yassir Ahmed</t>
  </si>
  <si>
    <t>H1A2L6</t>
  </si>
  <si>
    <t>Yassirnouc@outlook.com</t>
  </si>
  <si>
    <t>Saint Clair, Ruthsama</t>
  </si>
  <si>
    <t>AVENUE GARIÉPY</t>
  </si>
  <si>
    <t>H1H4C1</t>
  </si>
  <si>
    <t>rsaintclair340@gmail.com</t>
  </si>
  <si>
    <t>Cerhomme, Djunka Suzie</t>
  </si>
  <si>
    <t>AGNÈS</t>
  </si>
  <si>
    <t>H7A1K5</t>
  </si>
  <si>
    <t>djunkasuziecerhomme19@gmail.com</t>
  </si>
  <si>
    <t>Daigle, Tanya</t>
  </si>
  <si>
    <t>11E AV</t>
  </si>
  <si>
    <t>ÎLE-AUX-NOIX</t>
  </si>
  <si>
    <t>J0J1G0</t>
  </si>
  <si>
    <t>tanyadaigle23@gmail.com</t>
  </si>
  <si>
    <t>Shareck, Emma</t>
  </si>
  <si>
    <t>AVENUE LÉVESQUE</t>
  </si>
  <si>
    <t>H1K2P7</t>
  </si>
  <si>
    <t>emmashareck@hotmail.ca</t>
  </si>
  <si>
    <t>Moussaoui, Abdeslam</t>
  </si>
  <si>
    <t>RUE JARRY EST</t>
  </si>
  <si>
    <t>H1J1G2</t>
  </si>
  <si>
    <t>abdeslam-m@hotmail.com</t>
  </si>
  <si>
    <t>Komou, Ousmane</t>
  </si>
  <si>
    <t>H1S0E2</t>
  </si>
  <si>
    <t>ousmanekomou@icloud.com</t>
  </si>
  <si>
    <t>Zapata Arango, Valentina</t>
  </si>
  <si>
    <t>AVENUE DES CANADIENS-DE-MONTRÉAL</t>
  </si>
  <si>
    <t>H3C1B3</t>
  </si>
  <si>
    <t>valenzarango@hotmail.com</t>
  </si>
  <si>
    <t>Guérin, Christine</t>
  </si>
  <si>
    <t>BOULEVARD RENÉ-LÉVESQUE</t>
  </si>
  <si>
    <t>SAINT-EUSTACHE</t>
  </si>
  <si>
    <t>J7R7K4</t>
  </si>
  <si>
    <t>christine.mickael@hotmail.com</t>
  </si>
  <si>
    <t>Fréreault-Gomez, Melissa</t>
  </si>
  <si>
    <t>RUE MICHELET</t>
  </si>
  <si>
    <t>H2S2L8</t>
  </si>
  <si>
    <t>melissagomez438@hotmail.com</t>
  </si>
  <si>
    <t>Goudreault L'Heureux, Maxime</t>
  </si>
  <si>
    <t>RUE LA FONTAINE</t>
  </si>
  <si>
    <t>H1V1N3</t>
  </si>
  <si>
    <t>goudreaultma@hotmail.com</t>
  </si>
  <si>
    <t>Capela, Gradi</t>
  </si>
  <si>
    <t>RUE SAINTE MADELEINE</t>
  </si>
  <si>
    <t>H3K2L2</t>
  </si>
  <si>
    <t>capela243@hotmail.com</t>
  </si>
  <si>
    <t>Jean, Roodjerry</t>
  </si>
  <si>
    <t>RUE DU LAUS</t>
  </si>
  <si>
    <t>H1R2P4</t>
  </si>
  <si>
    <t>roodjerry08@gmail.com</t>
  </si>
  <si>
    <t>Dris, Amina</t>
  </si>
  <si>
    <t>aminadr1103@gmail.com</t>
  </si>
  <si>
    <t>Richard, Jean-Christophe</t>
  </si>
  <si>
    <t>SAINTE-CATHERINE</t>
  </si>
  <si>
    <t>J5C1Y2</t>
  </si>
  <si>
    <t>jcrichard99@hotmail.com</t>
  </si>
  <si>
    <t>Abdellaoui, Anas</t>
  </si>
  <si>
    <t>H1G2B4</t>
  </si>
  <si>
    <t>abdellaouianas10@gmail.com</t>
  </si>
  <si>
    <t>Rechoum, Abderrahmane Amine</t>
  </si>
  <si>
    <t>RUE PAUL-CORBEIL</t>
  </si>
  <si>
    <t>H1R3E3</t>
  </si>
  <si>
    <t>amine.rechoum@gmail.com</t>
  </si>
  <si>
    <t>Rambourg, Céline Alice</t>
  </si>
  <si>
    <t>RUE SAINT-ZOTIQUE E</t>
  </si>
  <si>
    <t>H1Y1C9</t>
  </si>
  <si>
    <t>rambourg.alice@gmail.com</t>
  </si>
  <si>
    <t>Beulze, Donovan</t>
  </si>
  <si>
    <t>H1X2B6</t>
  </si>
  <si>
    <t>donovan.beulze@gmail.com</t>
  </si>
  <si>
    <t>Elbeloui, Ali</t>
  </si>
  <si>
    <t>ali3lbeloui@gmail.com</t>
  </si>
  <si>
    <t>RUE DES PRÉS</t>
  </si>
  <si>
    <t>Khan, Fahim</t>
  </si>
  <si>
    <t>BOULEVARD DE MAISONNEUVE E</t>
  </si>
  <si>
    <t>H2X1J6</t>
  </si>
  <si>
    <t>overbladek@gmail.com</t>
  </si>
  <si>
    <t>Marceau, Marie-Pier</t>
  </si>
  <si>
    <t>MAZARIN</t>
  </si>
  <si>
    <t>H4E2X5</t>
  </si>
  <si>
    <t>mpi.marceau@gmail.com</t>
  </si>
  <si>
    <t>Okandze-Pourou, Beni Feriol</t>
  </si>
  <si>
    <t>DU CHARDONNAY</t>
  </si>
  <si>
    <t>DRUMMONDVILLE</t>
  </si>
  <si>
    <t>J2B0X3</t>
  </si>
  <si>
    <t>feriolbeniokandze44@hotmail.com</t>
  </si>
  <si>
    <t>AV DE L'ESPLANADE</t>
  </si>
  <si>
    <t>Alvarez Torres, Jesus Alberto</t>
  </si>
  <si>
    <t>RUE SAINT ÉTIENNE</t>
  </si>
  <si>
    <t>J5W3K5</t>
  </si>
  <si>
    <t>albertoal2003@icloud.com</t>
  </si>
  <si>
    <t>RUE D'IBERVILLE</t>
  </si>
  <si>
    <t>Tir, Young</t>
  </si>
  <si>
    <t>AV DE BRETAGNE</t>
  </si>
  <si>
    <t>H1J2P7</t>
  </si>
  <si>
    <t>young.tir@live.fr</t>
  </si>
  <si>
    <t>Miah, Rabbi</t>
  </si>
  <si>
    <t>H3N2V1</t>
  </si>
  <si>
    <t>amirhamza6300@gmail.com</t>
  </si>
  <si>
    <t>Plesimond, Ritchy</t>
  </si>
  <si>
    <t>RUE SAINT-EXUPÉRY</t>
  </si>
  <si>
    <t>H7H1H5</t>
  </si>
  <si>
    <t>hekenrf23@gmail.com</t>
  </si>
  <si>
    <t>Gagné, Nicolas</t>
  </si>
  <si>
    <t>AVENUE LAURIER EST</t>
  </si>
  <si>
    <t>H2J1H1</t>
  </si>
  <si>
    <t>nicolas.ng.gagne@gmail.com</t>
  </si>
  <si>
    <t>Renaud-Laflamme, Matis</t>
  </si>
  <si>
    <t>H1X2P5</t>
  </si>
  <si>
    <t>matisrl@hotmail.com</t>
  </si>
  <si>
    <t>Rahman, Saqib</t>
  </si>
  <si>
    <t>H2X1H1</t>
  </si>
  <si>
    <t>rahmansaqib0@gmail.com</t>
  </si>
  <si>
    <t>Bruno, Zoé</t>
  </si>
  <si>
    <t>J5Y3Z3</t>
  </si>
  <si>
    <t>zbruno0109@gmail.com</t>
  </si>
  <si>
    <t>François, Marie Danielle</t>
  </si>
  <si>
    <t>PLACE DE LESSEPS</t>
  </si>
  <si>
    <t>H1N1P1</t>
  </si>
  <si>
    <t>mariefrancois2023@hotmail.com</t>
  </si>
  <si>
    <t>Mechali, Ahmed</t>
  </si>
  <si>
    <t>RUE FRÉGAULT</t>
  </si>
  <si>
    <t>H1R1M7</t>
  </si>
  <si>
    <t>shiningblueriver@outlook.com</t>
  </si>
  <si>
    <t>Catalan Ruiz, Jennifer</t>
  </si>
  <si>
    <t>PLACE D'AMIENS</t>
  </si>
  <si>
    <t>H7G4A8</t>
  </si>
  <si>
    <t>jenniferkaylee256@gmail.com</t>
  </si>
  <si>
    <t>Nkenmoe Koukio, Philippe</t>
  </si>
  <si>
    <t>PLACE CHARLES-LE MOYNE</t>
  </si>
  <si>
    <t>J4K2T3</t>
  </si>
  <si>
    <t>nkenmoephilippe@outlook.com</t>
  </si>
  <si>
    <t>BOULEVARD JOSEPH-RENAUD</t>
  </si>
  <si>
    <t>Boulanger, Jean-Sébastien</t>
  </si>
  <si>
    <t>44E AVENUE</t>
  </si>
  <si>
    <t>H1T2P3</t>
  </si>
  <si>
    <t>jsboulanger33@gmail.com</t>
  </si>
  <si>
    <t>BOULEVARD CÉLORON</t>
  </si>
  <si>
    <t>Lemrini, Imane</t>
  </si>
  <si>
    <t>RUE DICKSON</t>
  </si>
  <si>
    <t>H1M3L3</t>
  </si>
  <si>
    <t>imane.lemrini@icloud.com</t>
  </si>
  <si>
    <t>Donis-Donis, Estuardo-Geovany</t>
  </si>
  <si>
    <t>26 AVENUE, BÉLANGER</t>
  </si>
  <si>
    <t>H1T3L1</t>
  </si>
  <si>
    <t>EstuardoDonis100@hotmail.com</t>
  </si>
  <si>
    <t>Kabalan, Ali</t>
  </si>
  <si>
    <t>DE LA CONCORDE BLVD E</t>
  </si>
  <si>
    <t>H7E2C9</t>
  </si>
  <si>
    <t>alikabalan123@hotmail.com</t>
  </si>
  <si>
    <t>Hacquard, Karine</t>
  </si>
  <si>
    <t>RUE DE LA SALAMANDRE</t>
  </si>
  <si>
    <t>DEUX-MONTAGNES</t>
  </si>
  <si>
    <t>J7R0L8</t>
  </si>
  <si>
    <t>kahh10@hotmail.com</t>
  </si>
  <si>
    <t>Legault-Chavando, Daniela</t>
  </si>
  <si>
    <t>AVENUE CHRISTOPHE-COLOMB</t>
  </si>
  <si>
    <t>H2S2H4</t>
  </si>
  <si>
    <t>legault.cd@hotmail.com</t>
  </si>
  <si>
    <t>Pharand, Maude</t>
  </si>
  <si>
    <t>65E AVENUE</t>
  </si>
  <si>
    <t>H8P3E5</t>
  </si>
  <si>
    <t>mpharand23@hotmail.com</t>
  </si>
  <si>
    <t>Bykovskaia-Dominique, Arielle</t>
  </si>
  <si>
    <t>H1V3G6</t>
  </si>
  <si>
    <t>arielle_dominique@hotmail.com</t>
  </si>
  <si>
    <t>Nath, Arpan</t>
  </si>
  <si>
    <t>RUE MEUNIER E</t>
  </si>
  <si>
    <t>H7G1P7</t>
  </si>
  <si>
    <t>arpan.nath98@gmail.com</t>
  </si>
  <si>
    <t>Carbonneau, Jessy</t>
  </si>
  <si>
    <t>ROI-RENÉ BLVD</t>
  </si>
  <si>
    <t>H1K3G6</t>
  </si>
  <si>
    <t>jessy533@hotmail.com</t>
  </si>
  <si>
    <t>Casimir, Pradline</t>
  </si>
  <si>
    <t>RUE D'AMOS</t>
  </si>
  <si>
    <t>H1H1P5</t>
  </si>
  <si>
    <t>casimirpradline@hotmail.com</t>
  </si>
  <si>
    <t>Israel, Tabita</t>
  </si>
  <si>
    <t>RUE PETER CURRY</t>
  </si>
  <si>
    <t>H1H2P9</t>
  </si>
  <si>
    <t>TAalygirls@gmail.com</t>
  </si>
  <si>
    <t>Hammache, Soufiane</t>
  </si>
  <si>
    <t>RUE SAINT-ÉVARISTE</t>
  </si>
  <si>
    <t>H4J2B2</t>
  </si>
  <si>
    <t>soufianeneymar10@hotmail.fr</t>
  </si>
  <si>
    <t>Nachit, Soukaina</t>
  </si>
  <si>
    <t>BOUL PROVENCHER</t>
  </si>
  <si>
    <t>SAINT-LÉONARD</t>
  </si>
  <si>
    <t>H1R2Z3</t>
  </si>
  <si>
    <t>soukainaactivo@gmail.com</t>
  </si>
  <si>
    <t>Sebogo, Hamidou Malick</t>
  </si>
  <si>
    <t>H2K4E6</t>
  </si>
  <si>
    <t>malicksebogo@icloud.com</t>
  </si>
  <si>
    <t>Dutil, Marc-Antoine</t>
  </si>
  <si>
    <t>RUE GARNIER</t>
  </si>
  <si>
    <t>H2E2A5</t>
  </si>
  <si>
    <t>marc.a.dutil@gmail.com</t>
  </si>
  <si>
    <t>Rossel Ponomarenko, Axel Alekseï</t>
  </si>
  <si>
    <t>RUE DE MARSEILLE</t>
  </si>
  <si>
    <t>H1N1L1</t>
  </si>
  <si>
    <t>axeljhao@gmail.com</t>
  </si>
  <si>
    <t>Trudeau, Valérie</t>
  </si>
  <si>
    <t>DE L'ÉGLISE</t>
  </si>
  <si>
    <t>VERDUN</t>
  </si>
  <si>
    <t>H4G2N2</t>
  </si>
  <si>
    <t>valerie.trudeau.mk@gmail.com</t>
  </si>
  <si>
    <t>Hounsounnou, Sylvain Menongnisse</t>
  </si>
  <si>
    <t>RUE MOLSON</t>
  </si>
  <si>
    <t>H2A3K1</t>
  </si>
  <si>
    <t>hounsounnoufrancis@gmail.com</t>
  </si>
  <si>
    <t>Nghapgou Kengni, Judith Laure</t>
  </si>
  <si>
    <t>Kengnilaure16@gmail.Com</t>
  </si>
  <si>
    <t>Terranova, Lou</t>
  </si>
  <si>
    <t>AVENUE JOLY</t>
  </si>
  <si>
    <t>H2X3H1</t>
  </si>
  <si>
    <t>louloudesantilles1@hotmail.fr</t>
  </si>
  <si>
    <t>Bourget-Lafortune, Janie</t>
  </si>
  <si>
    <t>RUE SAINT-GÉRARD</t>
  </si>
  <si>
    <t>H2P2C9</t>
  </si>
  <si>
    <t>janie.salsa@gmail.com</t>
  </si>
  <si>
    <t>Langevin, Antoine</t>
  </si>
  <si>
    <t>3186 HENRI DE SALIÈRE</t>
  </si>
  <si>
    <t>H2N1Y2</t>
  </si>
  <si>
    <t>antoinelangevin999@gmail.com</t>
  </si>
  <si>
    <t>Ladjrafi, Roumaissa</t>
  </si>
  <si>
    <t>AVENUE DE GRANBY</t>
  </si>
  <si>
    <t>H1N2Z4</t>
  </si>
  <si>
    <t>roumyladjrafi@gmail.com</t>
  </si>
  <si>
    <t>Moreau, Odelane</t>
  </si>
  <si>
    <t>J6X2J3</t>
  </si>
  <si>
    <t>odelanejean@gmail.com</t>
  </si>
  <si>
    <t>Lecours, Ann-Sophie</t>
  </si>
  <si>
    <t>AVENUE YVES-THÉRIAULT</t>
  </si>
  <si>
    <t>H1A5L5</t>
  </si>
  <si>
    <t>annsophielecours13@gmail.com</t>
  </si>
  <si>
    <t>Aboudou, Kouakou Axel Yannick</t>
  </si>
  <si>
    <t>H2A2Y1</t>
  </si>
  <si>
    <t>Axelyannick93@gmail.com</t>
  </si>
  <si>
    <t>RUE EUCLIDE BRIEN</t>
  </si>
  <si>
    <t>Vasquez Sanfiel, Victoria</t>
  </si>
  <si>
    <t>AVENUE DE CHEMILLÉ</t>
  </si>
  <si>
    <t>H1M1T3</t>
  </si>
  <si>
    <t>vicvassan1986@gmail.com</t>
  </si>
  <si>
    <t>RUE GRENET</t>
  </si>
  <si>
    <t>Di-Folco, Francis</t>
  </si>
  <si>
    <t>RUE DE LA GAUCHETIÈRE OUEST</t>
  </si>
  <si>
    <t>H2Z1Y2</t>
  </si>
  <si>
    <t>Francis.difolco@icloud.com</t>
  </si>
  <si>
    <t>Cangas Lucien, Adeline</t>
  </si>
  <si>
    <t>acangaslucien@yahoo.ca</t>
  </si>
  <si>
    <t>Thangarajasingam, Gajane</t>
  </si>
  <si>
    <t>AVENUE PLAZA</t>
  </si>
  <si>
    <t>H1H4L7</t>
  </si>
  <si>
    <t>parunavasingamsivagame@gmail.com</t>
  </si>
  <si>
    <t>Duval, Flavie</t>
  </si>
  <si>
    <t>RUE SÉRAPHIN</t>
  </si>
  <si>
    <t>SAINTE-ADÈLE</t>
  </si>
  <si>
    <t>J8B2G4</t>
  </si>
  <si>
    <t>duvalflavie@hotmail.com</t>
  </si>
  <si>
    <t>Mousseau Langevin, Gabriel</t>
  </si>
  <si>
    <t>RUE DE L'ORCHIDÉE</t>
  </si>
  <si>
    <t>J5W6A1</t>
  </si>
  <si>
    <t>gabrielmousseau@gmail.com</t>
  </si>
  <si>
    <t>Lucarelli, Mathieu Patrick</t>
  </si>
  <si>
    <t>RUE SAINT-JACQUES</t>
  </si>
  <si>
    <t>H8R1C7</t>
  </si>
  <si>
    <t>mathieulucarelli.ml@gmail.com</t>
  </si>
  <si>
    <t>Chalal, Yacine</t>
  </si>
  <si>
    <t>RUE HONORÉ MERCIER</t>
  </si>
  <si>
    <t>H1P1C2</t>
  </si>
  <si>
    <t>yacinechalal06@gmail.com</t>
  </si>
  <si>
    <t>Beaulac, Sarah-Léane</t>
  </si>
  <si>
    <t>RUE PHÈDRE</t>
  </si>
  <si>
    <t>H7A1A2</t>
  </si>
  <si>
    <t>sarah.leane@hotmail.com</t>
  </si>
  <si>
    <t>Diarra, Moussa</t>
  </si>
  <si>
    <t>AVENUE DE COURTRAI</t>
  </si>
  <si>
    <t>H3W0A9</t>
  </si>
  <si>
    <t>md9169126@gmail.com</t>
  </si>
  <si>
    <t>Gagnier, Geneviève</t>
  </si>
  <si>
    <t>39E AVENUE</t>
  </si>
  <si>
    <t>H1T2W5</t>
  </si>
  <si>
    <t>genelega13@gmail.com</t>
  </si>
  <si>
    <t>El Kouarir, Asmaa</t>
  </si>
  <si>
    <t>RUE GÉRIN-LAJOIE</t>
  </si>
  <si>
    <t>H1M3K3</t>
  </si>
  <si>
    <t>a.elkouarir@gmail.com</t>
  </si>
  <si>
    <t>Wabi, Fatima</t>
  </si>
  <si>
    <t>H4L3N3</t>
  </si>
  <si>
    <t>fatimawabi83@gmail.com</t>
  </si>
  <si>
    <t>Abdeltif, Mostefa Camil</t>
  </si>
  <si>
    <t>AVENUE HENRI MIRO</t>
  </si>
  <si>
    <t>H1M1E4</t>
  </si>
  <si>
    <t>camil2003.ca@gmail.com</t>
  </si>
  <si>
    <t>Zabli, Rayane</t>
  </si>
  <si>
    <t>AVENUE GUILLAUME COUTURE</t>
  </si>
  <si>
    <t>H1M1C7</t>
  </si>
  <si>
    <t>zablirayane2@gmail.com</t>
  </si>
  <si>
    <t>Kallel, Melek</t>
  </si>
  <si>
    <t>melekkallel02@gmail.com</t>
  </si>
  <si>
    <t>Casqueiro, Alexandre</t>
  </si>
  <si>
    <t>H1M3R5</t>
  </si>
  <si>
    <t>alexandrecasqueiro18@gmail.com</t>
  </si>
  <si>
    <t>Bureau, Isabelle</t>
  </si>
  <si>
    <t>PLACE GUILLET</t>
  </si>
  <si>
    <t>H1X3H5</t>
  </si>
  <si>
    <t>isaburo5@gmail.com</t>
  </si>
  <si>
    <t>Njimogny, Idrissou Issa</t>
  </si>
  <si>
    <t>AVENUE COLONIALE</t>
  </si>
  <si>
    <t>H2X2Y4</t>
  </si>
  <si>
    <t>issaidrissou29@gmail.com</t>
  </si>
  <si>
    <t>Mirzoev, Sabina</t>
  </si>
  <si>
    <t>JOSEPH-RENAUD BLVD</t>
  </si>
  <si>
    <t>H1K4C8</t>
  </si>
  <si>
    <t>sabina_mirzoev@yahoo.com</t>
  </si>
  <si>
    <t>Ollomo, Davey Stéphane</t>
  </si>
  <si>
    <t>RUE CLARK</t>
  </si>
  <si>
    <t>H2T2T5</t>
  </si>
  <si>
    <t>stephane_davey@yahoo.fr</t>
  </si>
  <si>
    <t>Museau, Noldyferson A</t>
  </si>
  <si>
    <t>H1E4G3</t>
  </si>
  <si>
    <t>noldyferson2020@gmail.com</t>
  </si>
  <si>
    <t>Rwendeye, Shaza</t>
  </si>
  <si>
    <t>MEUNIER</t>
  </si>
  <si>
    <t>H3L2Y9</t>
  </si>
  <si>
    <t>shazarwendeye5@gmail.com</t>
  </si>
  <si>
    <t>Patel, Prithvi</t>
  </si>
  <si>
    <t>H1Z2P9</t>
  </si>
  <si>
    <t>patelprithvi37@gmail.com</t>
  </si>
  <si>
    <t>Marquez Fernandez, Jerico</t>
  </si>
  <si>
    <t>ALLÉE DE BELLECHASSE</t>
  </si>
  <si>
    <t>H1X1J8</t>
  </si>
  <si>
    <t>jericoloco@hotmail.com</t>
  </si>
  <si>
    <t>Tang, Quoc Bao</t>
  </si>
  <si>
    <t>RUE LOUIS-VEUILLOT</t>
  </si>
  <si>
    <t>H1M2N6</t>
  </si>
  <si>
    <t>bawo.tang@gmail.com</t>
  </si>
  <si>
    <t>Contant, Jean-Christophe</t>
  </si>
  <si>
    <t>AVENUE DU PACIFIQUE</t>
  </si>
  <si>
    <t>H7N3X6</t>
  </si>
  <si>
    <t>jccontant@outlook.com</t>
  </si>
  <si>
    <t>Tremblay, Andrew</t>
  </si>
  <si>
    <t>RUE DES PERCE-NEIGE</t>
  </si>
  <si>
    <t>MONTREAL NORD</t>
  </si>
  <si>
    <t>andphiltre@gmail.com</t>
  </si>
  <si>
    <t>Begum, Homaeira</t>
  </si>
  <si>
    <t>H3W2Z2</t>
  </si>
  <si>
    <t>homaeira06@gmail.com</t>
  </si>
  <si>
    <t>Belhani, Hind</t>
  </si>
  <si>
    <t>AVENUE 24E</t>
  </si>
  <si>
    <t>H1T3M9</t>
  </si>
  <si>
    <t>belhani.hind@gmail.com</t>
  </si>
  <si>
    <t>Kafando, Gabriel</t>
  </si>
  <si>
    <t>ONTARIO EST</t>
  </si>
  <si>
    <t>H1W1R9</t>
  </si>
  <si>
    <t>kafandogabriel@yahoo.ca</t>
  </si>
  <si>
    <t>Hayes Umeda, Taian</t>
  </si>
  <si>
    <t>H2J2N5</t>
  </si>
  <si>
    <t>taianumeda@gmail.com</t>
  </si>
  <si>
    <t>Atron, Ehui Evariste Simon</t>
  </si>
  <si>
    <t>RUE VANIER</t>
  </si>
  <si>
    <t>SAINT-JÉRÔME</t>
  </si>
  <si>
    <t>J7Z6B4</t>
  </si>
  <si>
    <t>atron_simon25@yahoo.ca</t>
  </si>
  <si>
    <t>Gestion de réseaux, sécurité et virtualisation</t>
  </si>
  <si>
    <t>Taj Bakhsh, Mona</t>
  </si>
  <si>
    <t>RUE TAYLOR</t>
  </si>
  <si>
    <t>CHÂTEAUGUAY</t>
  </si>
  <si>
    <t>J6J2V6</t>
  </si>
  <si>
    <t>mona_tajbakhsh@yahoo.com</t>
  </si>
  <si>
    <t>Itoua, Mareine Naddy Heliode</t>
  </si>
  <si>
    <t>heliodeitoua98@gmail.com</t>
  </si>
  <si>
    <t>Khalfaui, Luiza</t>
  </si>
  <si>
    <t>AVENUE PÉLOQUIN</t>
  </si>
  <si>
    <t>H2C2J4</t>
  </si>
  <si>
    <t>k.louiza88@gmail.com</t>
  </si>
  <si>
    <t>Larcher, Gabrielle</t>
  </si>
  <si>
    <t>RUE LAHAIE</t>
  </si>
  <si>
    <t>H7G3A7</t>
  </si>
  <si>
    <t>gabrielle.larcher@hotmail.com</t>
  </si>
  <si>
    <t>St-Onge, Raphaël</t>
  </si>
  <si>
    <t>BOULEVARD ANTONIO-BARRETTE</t>
  </si>
  <si>
    <t>NOTRE DAME DES PRAIRIES</t>
  </si>
  <si>
    <t>J6E1E5</t>
  </si>
  <si>
    <t>raphstonge@hotmail.com</t>
  </si>
  <si>
    <t>Chevalier, Laurie</t>
  </si>
  <si>
    <t>RUE LARAMÉE</t>
  </si>
  <si>
    <t>J6K1L2</t>
  </si>
  <si>
    <t>loloman2004@icloud.com</t>
  </si>
  <si>
    <t>Martin, Alexandre</t>
  </si>
  <si>
    <t>RUE DE BRUXELLES</t>
  </si>
  <si>
    <t>H1L5Z3</t>
  </si>
  <si>
    <t>jfdvmgy@gmail.com</t>
  </si>
  <si>
    <t>Benelkahiya, Sabrine</t>
  </si>
  <si>
    <t>H1R1P8</t>
  </si>
  <si>
    <t>sabrinebly@gmail.com</t>
  </si>
  <si>
    <t>Sanon, Laetitia</t>
  </si>
  <si>
    <t>H2A2T2</t>
  </si>
  <si>
    <t>laetitiasanon28@hotmail.com</t>
  </si>
  <si>
    <t>Vilches Garcia, Gabriela</t>
  </si>
  <si>
    <t>RUE TARDIF</t>
  </si>
  <si>
    <t>H1G6M6</t>
  </si>
  <si>
    <t>gvilches804@gmail.com</t>
  </si>
  <si>
    <t>Marcoux, David</t>
  </si>
  <si>
    <t>LANGELIER BLVD</t>
  </si>
  <si>
    <t>H1N3A2</t>
  </si>
  <si>
    <t>david.marcoux7@gmail.com</t>
  </si>
  <si>
    <t>Doucet, Samantha</t>
  </si>
  <si>
    <t>RUE CHRIS-ADA</t>
  </si>
  <si>
    <t>MASCOUCHE</t>
  </si>
  <si>
    <t>J7L1B8</t>
  </si>
  <si>
    <t>samanthadoucet01@outlook.com</t>
  </si>
  <si>
    <t>RUE SAINT-DOMINIQUE</t>
  </si>
  <si>
    <t>Pustoc'H, Vanessa</t>
  </si>
  <si>
    <t>RUE SAINT-GERMAIN</t>
  </si>
  <si>
    <t>H1W2T8</t>
  </si>
  <si>
    <t>vanessapustoch@gmail.com</t>
  </si>
  <si>
    <t>Salse, Gabriel</t>
  </si>
  <si>
    <t>AV CHRISTOPHE-COLOMB</t>
  </si>
  <si>
    <t>H2R2S6</t>
  </si>
  <si>
    <t>gabriel.salse@hotmail.com</t>
  </si>
  <si>
    <t>Alam, Mohamed</t>
  </si>
  <si>
    <t>H2K3C2</t>
  </si>
  <si>
    <t>mohamedeightyfive@gmail.com</t>
  </si>
  <si>
    <t>RUE J.-B.-MARTINEAU</t>
  </si>
  <si>
    <t>H1R0A6</t>
  </si>
  <si>
    <t>Moise, Clara Guyrmana</t>
  </si>
  <si>
    <t>AV BOSSUET</t>
  </si>
  <si>
    <t>H1G4H5</t>
  </si>
  <si>
    <t>claramoise8@gmail.com</t>
  </si>
  <si>
    <t>Hamadé, Nancy</t>
  </si>
  <si>
    <t>H1H3R5</t>
  </si>
  <si>
    <t>Nancyhmd1@hotmail.com</t>
  </si>
  <si>
    <t>Tall, Mbene</t>
  </si>
  <si>
    <t>RUE SAINT-ÉMILE</t>
  </si>
  <si>
    <t>H1L5N2</t>
  </si>
  <si>
    <t>didiatou123mbene@hotmail.com</t>
  </si>
  <si>
    <t>Bouchard, Rose-Marie</t>
  </si>
  <si>
    <t>RUE LEMOYNE</t>
  </si>
  <si>
    <t>J6A3L7</t>
  </si>
  <si>
    <t>rosie_bouch@hotmail.com</t>
  </si>
  <si>
    <t>Cadichon, Christine</t>
  </si>
  <si>
    <t>H1G4B6</t>
  </si>
  <si>
    <t>christinecadichon556@gmail.com</t>
  </si>
  <si>
    <t>Carbonneau, Léa</t>
  </si>
  <si>
    <t>DU BOURBONNAIS</t>
  </si>
  <si>
    <t>J7L3C6</t>
  </si>
  <si>
    <t>leacarbonneau@hotmail.com</t>
  </si>
  <si>
    <t>AVENUE HÉNAULT</t>
  </si>
  <si>
    <t>Belderrar, Fatima Zahra</t>
  </si>
  <si>
    <t>4E AV</t>
  </si>
  <si>
    <t>H1E4B2</t>
  </si>
  <si>
    <t>belderrarfat@gmail.com</t>
  </si>
  <si>
    <t>Labonté Berthiaume, Olivier</t>
  </si>
  <si>
    <t>RUE NICOLET</t>
  </si>
  <si>
    <t>H1W3K4</t>
  </si>
  <si>
    <t>olivierlabonteberthiaume@gmail.com</t>
  </si>
  <si>
    <t>Yuen, Connie</t>
  </si>
  <si>
    <t>J4Z2G7</t>
  </si>
  <si>
    <t>connieyuen001@gmail.com</t>
  </si>
  <si>
    <t>Kherouf, Bahja Aya</t>
  </si>
  <si>
    <t>RUE DE BOISCHATEL</t>
  </si>
  <si>
    <t>H1S2K9</t>
  </si>
  <si>
    <t>ayakherouf123@gmail.com</t>
  </si>
  <si>
    <t>Tardif, Catherine</t>
  </si>
  <si>
    <t>RUE CHAMPDORÉ</t>
  </si>
  <si>
    <t>H1Z1G3</t>
  </si>
  <si>
    <t>catherine.tardif142@gmail.com</t>
  </si>
  <si>
    <t>Lubin, Jessica</t>
  </si>
  <si>
    <t>RUE LOUIS-JOLIET</t>
  </si>
  <si>
    <t>H8N2X3</t>
  </si>
  <si>
    <t>jessicalubin1@gmail.com</t>
  </si>
  <si>
    <t>Fournier, Camille</t>
  </si>
  <si>
    <t>H1W1C6</t>
  </si>
  <si>
    <t>fournier_camille@hotmail.com</t>
  </si>
  <si>
    <t>Holgado, Carla</t>
  </si>
  <si>
    <t>H3S1S5</t>
  </si>
  <si>
    <t>Carla.a.holgado@gmail.com</t>
  </si>
  <si>
    <t>Laldji, Maroua Wissam</t>
  </si>
  <si>
    <t>H1S2L8</t>
  </si>
  <si>
    <t>marwalaldji@gmail.com</t>
  </si>
  <si>
    <t>Alexis, Juvens</t>
  </si>
  <si>
    <t>RUE SARRAZIN</t>
  </si>
  <si>
    <t>J6W4E1</t>
  </si>
  <si>
    <t>juvensbuisness@gmail.com</t>
  </si>
  <si>
    <t>Turcot, Maya</t>
  </si>
  <si>
    <t>DES GALERIES D'ANJOU BLVD</t>
  </si>
  <si>
    <t>H1M0A7</t>
  </si>
  <si>
    <t>mayaturcot@gmail.com</t>
  </si>
  <si>
    <t>Schûtze, Aisha</t>
  </si>
  <si>
    <t>RUE DE CANDIAC</t>
  </si>
  <si>
    <t>H1S2E6</t>
  </si>
  <si>
    <t>aisha.schutze0506@hotmail.com</t>
  </si>
  <si>
    <t>Mathurin, Esther-Bemise</t>
  </si>
  <si>
    <t>mathurine0@gmail.com</t>
  </si>
  <si>
    <t>Dimitrov, Kaloyan</t>
  </si>
  <si>
    <t>WAVERLY</t>
  </si>
  <si>
    <t>kalofrom51@gmail.com</t>
  </si>
  <si>
    <t>Chan, Yuri</t>
  </si>
  <si>
    <t>BOUL LAPOINTE</t>
  </si>
  <si>
    <t>H1L5M5</t>
  </si>
  <si>
    <t>yuri@vnetwork.ca</t>
  </si>
  <si>
    <t>Dinh Nguyen, Ai Vi</t>
  </si>
  <si>
    <t>aividinhnguyen@gmail.com</t>
  </si>
  <si>
    <t>Goupil-Lévesque, Laurent Philippe</t>
  </si>
  <si>
    <t>RUE SAINT-ZOTIQUE EAST</t>
  </si>
  <si>
    <t>H1T1P2</t>
  </si>
  <si>
    <t>glaurentphilippe@gmail.com</t>
  </si>
  <si>
    <t>Le Ber Assiani, Myro</t>
  </si>
  <si>
    <t>H1Y0C8</t>
  </si>
  <si>
    <t>myriam_leber@hotmail.com</t>
  </si>
  <si>
    <t>Bélanger, James</t>
  </si>
  <si>
    <t>LEMAY</t>
  </si>
  <si>
    <t>H1T2L5</t>
  </si>
  <si>
    <t>jamesfbel@gmail.com</t>
  </si>
  <si>
    <t>RUE DE LACHENAIE</t>
  </si>
  <si>
    <t>Ortega, Jericho</t>
  </si>
  <si>
    <t>H1X2L8</t>
  </si>
  <si>
    <t>jericho.ortega@gmail.com</t>
  </si>
  <si>
    <t>Thermidor, Youdeline</t>
  </si>
  <si>
    <t>AVENUE DU PARC-GEORGES</t>
  </si>
  <si>
    <t>H1H4Y8</t>
  </si>
  <si>
    <t>youdeline.t@gmail.com</t>
  </si>
  <si>
    <t>André, Laëtitia</t>
  </si>
  <si>
    <t>titia.andre@gmail.com</t>
  </si>
  <si>
    <t>Mbodj, Safietou</t>
  </si>
  <si>
    <t>AVENUE DE L'AUTHION</t>
  </si>
  <si>
    <t>H1M2W3</t>
  </si>
  <si>
    <t>msafietou@gmail.com</t>
  </si>
  <si>
    <t>Ducharme, Rose-Anne</t>
  </si>
  <si>
    <t>RUE SAINTE CATHERINE</t>
  </si>
  <si>
    <t>J4H2A9</t>
  </si>
  <si>
    <t>roseanne.ducharme@gmail.com</t>
  </si>
  <si>
    <t>Cloutier, Roxane</t>
  </si>
  <si>
    <t>CH DU CHICOT N</t>
  </si>
  <si>
    <t>MIRABEL</t>
  </si>
  <si>
    <t>J7N2H7</t>
  </si>
  <si>
    <t>roxanecloutier96@hotmail.fr</t>
  </si>
  <si>
    <t>SAINT-ROCH-DE-RICHELIEU</t>
  </si>
  <si>
    <t>J0L2M0</t>
  </si>
  <si>
    <t>Valiquette-Claude, Mélodie-Jade</t>
  </si>
  <si>
    <t>H2G2A9</t>
  </si>
  <si>
    <t>melodie1428@gmail.com</t>
  </si>
  <si>
    <t>Franco-Lacourse, Cassiopée</t>
  </si>
  <si>
    <t>SAINT-LAURENT BLVD</t>
  </si>
  <si>
    <t>H2S3C4</t>
  </si>
  <si>
    <t>cassiopee.12@hotmail.com</t>
  </si>
  <si>
    <t>Lemieux, Michael</t>
  </si>
  <si>
    <t>DE CHAMBLY</t>
  </si>
  <si>
    <t>H1W3J4</t>
  </si>
  <si>
    <t>mlemieux0111@gmail.com</t>
  </si>
  <si>
    <t>Augustin, Karl Handrick</t>
  </si>
  <si>
    <t>RUE DU LANGUEDOC</t>
  </si>
  <si>
    <t>J6Y2A1</t>
  </si>
  <si>
    <t>karlaugustin91@gmail.com</t>
  </si>
  <si>
    <t>Makaya Ma Ngimbi, Eliezer</t>
  </si>
  <si>
    <t>GAUTHIER</t>
  </si>
  <si>
    <t>J6A4P2</t>
  </si>
  <si>
    <t>eliezerm2000@gmail.com</t>
  </si>
  <si>
    <t>Doll-Neveux, Robin</t>
  </si>
  <si>
    <t>6E AVENUE</t>
  </si>
  <si>
    <t>H1Y2P6</t>
  </si>
  <si>
    <t>robindoll88@gmail.com</t>
  </si>
  <si>
    <t>Toumi, Ali Yani</t>
  </si>
  <si>
    <t>AVENUE LES RÉAUX</t>
  </si>
  <si>
    <t>H1K2C2</t>
  </si>
  <si>
    <t>aliyani.toumi@hotmail.com</t>
  </si>
  <si>
    <t>Dortilus, Lindsay</t>
  </si>
  <si>
    <t>PLACE MONTRICHARD</t>
  </si>
  <si>
    <t>H1K1H7</t>
  </si>
  <si>
    <t>lindsaydortilus@gmail.com</t>
  </si>
  <si>
    <t>Ermilus, Keytz</t>
  </si>
  <si>
    <t>RUE BARON</t>
  </si>
  <si>
    <t>H7H1Y7</t>
  </si>
  <si>
    <t>keytz01@hotmail.com</t>
  </si>
  <si>
    <t>RUE BOURGEOIS</t>
  </si>
  <si>
    <t>GRANBY</t>
  </si>
  <si>
    <t>Montoudis, Daphné</t>
  </si>
  <si>
    <t>RUE FOUCHER</t>
  </si>
  <si>
    <t>H2P2C1</t>
  </si>
  <si>
    <t>montoudaph@gmail.com</t>
  </si>
  <si>
    <t>Chaput, Kate</t>
  </si>
  <si>
    <t>RUE GAUTHIER</t>
  </si>
  <si>
    <t>SAINTE-ANNE-DES-PLAINES</t>
  </si>
  <si>
    <t>J5N1V3</t>
  </si>
  <si>
    <t>katechaput@videotron.ca</t>
  </si>
  <si>
    <t>Lefebvre, Romane</t>
  </si>
  <si>
    <t>H1Y2V9</t>
  </si>
  <si>
    <t>romanelefebvre4@hotmail.com</t>
  </si>
  <si>
    <t>Munger, Amélie</t>
  </si>
  <si>
    <t>CABRAL</t>
  </si>
  <si>
    <t>J5Z4N2</t>
  </si>
  <si>
    <t>amelie.munger@outlook.com</t>
  </si>
  <si>
    <t>Isaac, El Szauri</t>
  </si>
  <si>
    <t>H1K2X9</t>
  </si>
  <si>
    <t>isaacelszauri@gmail.com</t>
  </si>
  <si>
    <t>Pierre, Rose-Dina</t>
  </si>
  <si>
    <t>RUE FRANCOIS PREMIER</t>
  </si>
  <si>
    <t>H1R1E6</t>
  </si>
  <si>
    <t>rosedinapierre@gmail.com</t>
  </si>
  <si>
    <t>Dostie, Nicole</t>
  </si>
  <si>
    <t>LOUIS VEUILLOT</t>
  </si>
  <si>
    <t>H1N2P8</t>
  </si>
  <si>
    <t>nicoledostie@hotmail.com</t>
  </si>
  <si>
    <t>Thélisma, Taïna Rose Melissa</t>
  </si>
  <si>
    <t>17 AVENUE</t>
  </si>
  <si>
    <t>H1Z3R4</t>
  </si>
  <si>
    <t>thelismataina@gmail.com</t>
  </si>
  <si>
    <t>H.-Tremblay, Julia</t>
  </si>
  <si>
    <t>40E AV</t>
  </si>
  <si>
    <t>H1T2V9</t>
  </si>
  <si>
    <t>allojuju@hotmail.com</t>
  </si>
  <si>
    <t>Dinh, David</t>
  </si>
  <si>
    <t>RUE MARTINIQUE</t>
  </si>
  <si>
    <t>H9G2Y4</t>
  </si>
  <si>
    <t>di20chau@hotmail.com</t>
  </si>
  <si>
    <t>Fortin, Raphaël</t>
  </si>
  <si>
    <t>RUE PHYDIME-DESCHÊNES</t>
  </si>
  <si>
    <t>QUÉBEC</t>
  </si>
  <si>
    <t>G2N1N3</t>
  </si>
  <si>
    <t>Raph_159@icloud.com</t>
  </si>
  <si>
    <t>Bouhalloufa, Bouchra</t>
  </si>
  <si>
    <t>RUE DE CHARLEROI</t>
  </si>
  <si>
    <t>H1G3A6</t>
  </si>
  <si>
    <t>bouchrabouhalloufa@gmail.com</t>
  </si>
  <si>
    <t>Bah, Oumou Hawa</t>
  </si>
  <si>
    <t>AV SOULIGNY</t>
  </si>
  <si>
    <t>H1L6L2</t>
  </si>
  <si>
    <t>oumouhbah30@gmail.com</t>
  </si>
  <si>
    <t>Bélisle, Xavier</t>
  </si>
  <si>
    <t>RUE DU CHAMP-FLEURI</t>
  </si>
  <si>
    <t>SAINT-COLOMBAN</t>
  </si>
  <si>
    <t>J5K2V3</t>
  </si>
  <si>
    <t>Xavier_belisle55@hotmail.com</t>
  </si>
  <si>
    <t>Plamondon, Louis-Thomas</t>
  </si>
  <si>
    <t>BOULEVARD ROSEMONT</t>
  </si>
  <si>
    <t>H2S0A7</t>
  </si>
  <si>
    <t>ltplamondon@gmail.com</t>
  </si>
  <si>
    <t>Marroquin-Zuluaga, Emilie-Tatiana</t>
  </si>
  <si>
    <t>AVENUE 49E</t>
  </si>
  <si>
    <t>H1E2G8</t>
  </si>
  <si>
    <t>emilietatianamz@gmail.com</t>
  </si>
  <si>
    <t>Viegas, Andréa</t>
  </si>
  <si>
    <t>RUE DE SAINT-JUST</t>
  </si>
  <si>
    <t>H1L6C1</t>
  </si>
  <si>
    <t>andrea_viegas@icloud.com</t>
  </si>
  <si>
    <t>AVENUE DU CHARDONNET</t>
  </si>
  <si>
    <t>H1K1B6</t>
  </si>
  <si>
    <t>Dani, Iméne</t>
  </si>
  <si>
    <t>RUE DOLLIER</t>
  </si>
  <si>
    <t>H1S2J9</t>
  </si>
  <si>
    <t>Imenedanii@gmail.com</t>
  </si>
  <si>
    <t>Rioux, Audrey-Anne</t>
  </si>
  <si>
    <t>RUE DE L'ÉTIAGE</t>
  </si>
  <si>
    <t>J6W6B3</t>
  </si>
  <si>
    <t>audreyannerioux01@gmail.com</t>
  </si>
  <si>
    <t>Perron, Malicia</t>
  </si>
  <si>
    <t>RUE PRUD'HOMME</t>
  </si>
  <si>
    <t>SAINT-LIN-LAURENTIDES</t>
  </si>
  <si>
    <t>J5M2T2</t>
  </si>
  <si>
    <t>maliciaperron@hotmail.com</t>
  </si>
  <si>
    <t>Gacemi, Mohamed Abdelrahmane</t>
  </si>
  <si>
    <t>PAPINEAU</t>
  </si>
  <si>
    <t>H2E2G3</t>
  </si>
  <si>
    <t>abdel30384@gmail.com</t>
  </si>
  <si>
    <t>Tran, Le Minh Phuong</t>
  </si>
  <si>
    <t>PREFONTAINE</t>
  </si>
  <si>
    <t>J4K3W7</t>
  </si>
  <si>
    <t>lemii2510@gmail.com</t>
  </si>
  <si>
    <t>Assi, Batoul</t>
  </si>
  <si>
    <t>H2P1X4</t>
  </si>
  <si>
    <t>assi.batoul@hotmail.com</t>
  </si>
  <si>
    <t>Morisset, Esther</t>
  </si>
  <si>
    <t>BOULEVARD LOUIS-PHILIPPE-PICARD</t>
  </si>
  <si>
    <t>J5Y0A9</t>
  </si>
  <si>
    <t>emorisset03@gmail.com</t>
  </si>
  <si>
    <t>Cissé, Ndiaga</t>
  </si>
  <si>
    <t>AV DRAPEAU</t>
  </si>
  <si>
    <t>H1H3K5</t>
  </si>
  <si>
    <t>cndiaga2002@gmail.com</t>
  </si>
  <si>
    <t>Point du Jour, Justine</t>
  </si>
  <si>
    <t>justine27j@gmail.com</t>
  </si>
  <si>
    <t>Avalos, David Eliseo</t>
  </si>
  <si>
    <t>AV PIERRE DE-COUBERTIN</t>
  </si>
  <si>
    <t>H1N1S4</t>
  </si>
  <si>
    <t>davidavalos0903@gmail.com</t>
  </si>
  <si>
    <t>Aicardi, Julia</t>
  </si>
  <si>
    <t>RUE CUVILLIER</t>
  </si>
  <si>
    <t>H1W3B3</t>
  </si>
  <si>
    <t>julia.aicardi@live.fr</t>
  </si>
  <si>
    <t>PIE-IX BLVD</t>
  </si>
  <si>
    <t>Lapointe, Amélie</t>
  </si>
  <si>
    <t>RUE CHANTAL</t>
  </si>
  <si>
    <t>J5Z0C5</t>
  </si>
  <si>
    <t>melichaton@live.ca</t>
  </si>
  <si>
    <t>Lacoursière, Sandrine</t>
  </si>
  <si>
    <t>H1H1B8</t>
  </si>
  <si>
    <t>sandrine.lacoursiere@videotron.ca</t>
  </si>
  <si>
    <t>Chaker, Leticia</t>
  </si>
  <si>
    <t>H1H5W4</t>
  </si>
  <si>
    <t>chakerleticia@gmail.com</t>
  </si>
  <si>
    <t>Maystorov, Stanislav</t>
  </si>
  <si>
    <t>RUE PARNASSE</t>
  </si>
  <si>
    <t>J4W2C5</t>
  </si>
  <si>
    <t>mstanislav2001@hotmail.com</t>
  </si>
  <si>
    <t>Kumaru, Subhankey</t>
  </si>
  <si>
    <t>H2E2M9</t>
  </si>
  <si>
    <t>subhankey.kumaru@hotmail.com</t>
  </si>
  <si>
    <t>Gagnon, Andy</t>
  </si>
  <si>
    <t>RUE DESMARTEAU</t>
  </si>
  <si>
    <t>H1K4N4</t>
  </si>
  <si>
    <t>Andygagnon13@gmail.com</t>
  </si>
  <si>
    <t>Savoie, Thomas</t>
  </si>
  <si>
    <t>RUE DE LA CONGRÉGATION</t>
  </si>
  <si>
    <t>H3K2H8</t>
  </si>
  <si>
    <t>savoiethomas87@gmail.com</t>
  </si>
  <si>
    <t>Lam, Misa</t>
  </si>
  <si>
    <t>H2E2P9</t>
  </si>
  <si>
    <t>cmx.misa@gmail.com</t>
  </si>
  <si>
    <t>Abdelkrim, Amina</t>
  </si>
  <si>
    <t>H1S1N9</t>
  </si>
  <si>
    <t>a.abdelkrim04@gmail.com</t>
  </si>
  <si>
    <t>Medmoune, Khadidja</t>
  </si>
  <si>
    <t>H1K4G1</t>
  </si>
  <si>
    <t>kikywawa@gmail.com</t>
  </si>
  <si>
    <t>Poteau, Ashley</t>
  </si>
  <si>
    <t>RUE LOUIS-DARVEAU</t>
  </si>
  <si>
    <t>H1E4S9</t>
  </si>
  <si>
    <t>ashley.k.p0@gmail.com</t>
  </si>
  <si>
    <t>Rondeau, Guillaume</t>
  </si>
  <si>
    <t>RUE DE MONTIGNY</t>
  </si>
  <si>
    <t>H1A3Y8</t>
  </si>
  <si>
    <t>guillaumerondeau18@icloud.com</t>
  </si>
  <si>
    <t>humaines: Profil Monde et action citoyenne avec mathé</t>
  </si>
  <si>
    <t>Uzungun, Bervin</t>
  </si>
  <si>
    <t>BOULEVARD DES GRANDES-PRAIRIES</t>
  </si>
  <si>
    <t>H1R1A1</t>
  </si>
  <si>
    <t>bervinuzgn@gmail.com</t>
  </si>
  <si>
    <t>Messier, Félix</t>
  </si>
  <si>
    <t>AVENUE OUTREMONT</t>
  </si>
  <si>
    <t>H2V3M1</t>
  </si>
  <si>
    <t>Messierfelix735@gmail.com</t>
  </si>
  <si>
    <t>Pierre, Sandiana</t>
  </si>
  <si>
    <t>RUE EINSTEIN</t>
  </si>
  <si>
    <t>J5Y3Z1</t>
  </si>
  <si>
    <t>aunielle13@gmail.com</t>
  </si>
  <si>
    <t>Ortiz Santiago, Ana</t>
  </si>
  <si>
    <t>RUE MARQUETTE</t>
  </si>
  <si>
    <t>H2G2Y6</t>
  </si>
  <si>
    <t>ortjzana@gmail.com</t>
  </si>
  <si>
    <t>Croc, Jérémie Georges Henri</t>
  </si>
  <si>
    <t>H1Y2V4</t>
  </si>
  <si>
    <t>jeremiecroc42@gmail.com</t>
  </si>
  <si>
    <t>Elambo, Julia Regina</t>
  </si>
  <si>
    <t>juliaelambo96@gmail.com</t>
  </si>
  <si>
    <t>Félix-Désir, Pharlonne</t>
  </si>
  <si>
    <t>AVENUE ERNEST-ROBITAILLE</t>
  </si>
  <si>
    <t>H1G3Y4</t>
  </si>
  <si>
    <t>pharlonnefelixdesir@gmail.com</t>
  </si>
  <si>
    <t>Nkanu, Deborah-Louise</t>
  </si>
  <si>
    <t>RUE LIONEL-GROULX</t>
  </si>
  <si>
    <t>H1R3G9</t>
  </si>
  <si>
    <t>deborahlouisedeborah@hotmail.com</t>
  </si>
  <si>
    <t>Poulin, Léo</t>
  </si>
  <si>
    <t>H1T3M7</t>
  </si>
  <si>
    <t>leopoulin31@gmail.com</t>
  </si>
  <si>
    <t>Bargache, Adam</t>
  </si>
  <si>
    <t>BOULEVARD DU HAUT-ANJOU</t>
  </si>
  <si>
    <t>H1J1T8</t>
  </si>
  <si>
    <t>bargache.adam@hotmail.com</t>
  </si>
  <si>
    <t>Foalang Tuedem, Alida Josiane</t>
  </si>
  <si>
    <t>LAFORTUNE</t>
  </si>
  <si>
    <t>J5Z4Z7</t>
  </si>
  <si>
    <t>Alidaleanafoalang@gmail.com</t>
  </si>
  <si>
    <t>Ndoye, Yussouf</t>
  </si>
  <si>
    <t>AVENUE ÉTHIER</t>
  </si>
  <si>
    <t>H1H3G6</t>
  </si>
  <si>
    <t>yussoufndoye21@gmail.com</t>
  </si>
  <si>
    <t>Masse-Lavigne, Nancy</t>
  </si>
  <si>
    <t>H2H1W9</t>
  </si>
  <si>
    <t>masselnancy@hotmail.com</t>
  </si>
  <si>
    <t>Raymond-Alcantara, Shawn</t>
  </si>
  <si>
    <t>AVENUE FERNAND-FOREST</t>
  </si>
  <si>
    <t>H1E1G9</t>
  </si>
  <si>
    <t>Gamefaner324@outlook.com</t>
  </si>
  <si>
    <t>Brabant, Kamelia</t>
  </si>
  <si>
    <t>RUE SAGARD</t>
  </si>
  <si>
    <t>H2E2S4</t>
  </si>
  <si>
    <t>kamelia.brabant@gmail.com</t>
  </si>
  <si>
    <t>Zouichi, Hiba</t>
  </si>
  <si>
    <t>H1X2P7</t>
  </si>
  <si>
    <t>unchcalfa@gmail.com</t>
  </si>
  <si>
    <t>Primeau Emond, Michaël</t>
  </si>
  <si>
    <t>H1L1S6</t>
  </si>
  <si>
    <t>michael1745steam@gmail.com</t>
  </si>
  <si>
    <t>Ntakije, Taylor</t>
  </si>
  <si>
    <t>DES PRUCHES ALLEE</t>
  </si>
  <si>
    <t>H1M1E6</t>
  </si>
  <si>
    <t>taylorntakije@outlook.com</t>
  </si>
  <si>
    <t>Madani, Samira Maria</t>
  </si>
  <si>
    <t>GEORGES-VANIER BLVD</t>
  </si>
  <si>
    <t>H3J2B5</t>
  </si>
  <si>
    <t>Madanimaria44@gmail.com</t>
  </si>
  <si>
    <t>Louis, Romanek</t>
  </si>
  <si>
    <t>BOULEVARD LAPOINTE</t>
  </si>
  <si>
    <t>H1L5M4</t>
  </si>
  <si>
    <t>romanek0730@outlook.com</t>
  </si>
  <si>
    <t>Touré, Fatoumata</t>
  </si>
  <si>
    <t>H1B4N5</t>
  </si>
  <si>
    <t>fatito1203@gmail.com</t>
  </si>
  <si>
    <t>Fortin, Rose</t>
  </si>
  <si>
    <t>RUE DU BUIS</t>
  </si>
  <si>
    <t>J7M1C9</t>
  </si>
  <si>
    <t>rosefortin84@gmail.com</t>
  </si>
  <si>
    <t>Tete-Badu, Dzogbenyui</t>
  </si>
  <si>
    <t>dzogbenyuitete@gmail.com</t>
  </si>
  <si>
    <t>Lambert, Josée</t>
  </si>
  <si>
    <t>AV BOURBONNIÈRE</t>
  </si>
  <si>
    <t>H1X2M5</t>
  </si>
  <si>
    <t>joseelambert36@gmail.com</t>
  </si>
  <si>
    <t>Grondin, Sébastien</t>
  </si>
  <si>
    <t>RUE DANDURAND</t>
  </si>
  <si>
    <t>H1Y1S1</t>
  </si>
  <si>
    <t>sebastien.grondin82@gmail.com</t>
  </si>
  <si>
    <t>Ngombe, Yann Beya</t>
  </si>
  <si>
    <t>RUE CHANTENAY</t>
  </si>
  <si>
    <t>H1P2J3</t>
  </si>
  <si>
    <t>beyamateo19@gmail.com</t>
  </si>
  <si>
    <t>Hatimi, Hatim</t>
  </si>
  <si>
    <t>tim891@outlook.fr</t>
  </si>
  <si>
    <t>Djellaoui, Taous</t>
  </si>
  <si>
    <t>H1N2J9</t>
  </si>
  <si>
    <t>taousdjellaoui@gmail.com</t>
  </si>
  <si>
    <t>Bouheraoua, Amira</t>
  </si>
  <si>
    <t>BOULEVARD DÉGUIRE</t>
  </si>
  <si>
    <t>H4N1P7</t>
  </si>
  <si>
    <t>mirabhr2@gmail.com</t>
  </si>
  <si>
    <t>Courteau-Hébert, Vincent</t>
  </si>
  <si>
    <t>3E AV</t>
  </si>
  <si>
    <t>H1Y2X3</t>
  </si>
  <si>
    <t>vincent.c-hebert@hotmail.ca</t>
  </si>
  <si>
    <t>Chaussée, Simone</t>
  </si>
  <si>
    <t>H1T2Y2</t>
  </si>
  <si>
    <t>simonechaussee@hotmail.com</t>
  </si>
  <si>
    <t>Khakimov, Alikhan</t>
  </si>
  <si>
    <t>PLACE DE L'ACADIE</t>
  </si>
  <si>
    <t>H4N0B6</t>
  </si>
  <si>
    <t>alikhankhakimov@outlook.com</t>
  </si>
  <si>
    <t>Kesmen, Esmanur</t>
  </si>
  <si>
    <t>AVENUE OMER-HÉROUX</t>
  </si>
  <si>
    <t>H1G4V8</t>
  </si>
  <si>
    <t>kesmenesmanur@gmail.com</t>
  </si>
  <si>
    <t>Jimenez Moreno, Juan Pablo</t>
  </si>
  <si>
    <t>RUE BELLECHASSE</t>
  </si>
  <si>
    <t>therealjuanjimenez@icloud.com</t>
  </si>
  <si>
    <t>Gherman, Andrada</t>
  </si>
  <si>
    <t>RUE DE LA BRISARDIÈRE</t>
  </si>
  <si>
    <t>J3Y0C1</t>
  </si>
  <si>
    <t>andrada.gherman20@gmail.com</t>
  </si>
  <si>
    <t>Alvarado-Castro, Jean Marco</t>
  </si>
  <si>
    <t>BOULEVARD SAINTE-GERTRUDE</t>
  </si>
  <si>
    <t>H1G5P5</t>
  </si>
  <si>
    <t>jean-marco13@live.fr</t>
  </si>
  <si>
    <t>Benjamin, Veronicka Louny Carmelle</t>
  </si>
  <si>
    <t>RUE DESCHAMPS</t>
  </si>
  <si>
    <t>J5M1W1</t>
  </si>
  <si>
    <t>louvicka67@gmail.com</t>
  </si>
  <si>
    <t>Aubé, Élisabeth</t>
  </si>
  <si>
    <t>RUE DU FAÎTE-BOISÉ</t>
  </si>
  <si>
    <t>J6Y1Z6</t>
  </si>
  <si>
    <t>eliaube@icloud.com</t>
  </si>
  <si>
    <t>Brès Lefebvre, Arnaud</t>
  </si>
  <si>
    <t>H2J3G6</t>
  </si>
  <si>
    <t>arnaudbreslefebvre@gmail.com</t>
  </si>
  <si>
    <t>Tercy, Bilenda</t>
  </si>
  <si>
    <t>AV LAROSE</t>
  </si>
  <si>
    <t>H2B2Y9</t>
  </si>
  <si>
    <t>btercy2117@gmail.com</t>
  </si>
  <si>
    <t>Morales-Caceres, Jimmy</t>
  </si>
  <si>
    <t>H2A2R5</t>
  </si>
  <si>
    <t>Jim_alex4@hotmail.com</t>
  </si>
  <si>
    <t>Godbout, Maxim</t>
  </si>
  <si>
    <t>H1L6A9</t>
  </si>
  <si>
    <t>maximgodbout1@hotmail.com</t>
  </si>
  <si>
    <t>John, Abraham</t>
  </si>
  <si>
    <t>RUE DES SARCELLES</t>
  </si>
  <si>
    <t>VAUDREUIL-DORION</t>
  </si>
  <si>
    <t>J7V9E8</t>
  </si>
  <si>
    <t>abrahamjohn246@gmail.com</t>
  </si>
  <si>
    <t>Jeudi, Gerson Sergio</t>
  </si>
  <si>
    <t>J6V1B3</t>
  </si>
  <si>
    <t>COOLGERSON@YAHOO.COM</t>
  </si>
  <si>
    <t>Kassan, Rami</t>
  </si>
  <si>
    <t>RUE MALRAUX</t>
  </si>
  <si>
    <t>H7X3L1</t>
  </si>
  <si>
    <t>rami.kassan@hotmail.com</t>
  </si>
  <si>
    <t>Ouattara, Kinadene Awa</t>
  </si>
  <si>
    <t>RUE CLERMONT</t>
  </si>
  <si>
    <t>J5W0A7</t>
  </si>
  <si>
    <t>kinaawa1@gmail.com</t>
  </si>
  <si>
    <t>Dupont, Stanley</t>
  </si>
  <si>
    <t>RUE DE CAPRI</t>
  </si>
  <si>
    <t>H1R1Z1</t>
  </si>
  <si>
    <t>dpntstanley123@gmail.com</t>
  </si>
  <si>
    <t>Cirpaci, Léo</t>
  </si>
  <si>
    <t>RUE ROBIN</t>
  </si>
  <si>
    <t>H2L1V8</t>
  </si>
  <si>
    <t>leocirpaci@outlook.com</t>
  </si>
  <si>
    <t>RUE LAFOND</t>
  </si>
  <si>
    <t>H1X2X3</t>
  </si>
  <si>
    <t>Perrin, Sarah Perlange</t>
  </si>
  <si>
    <t>BOULEVARD ROI-RENÉ</t>
  </si>
  <si>
    <t>H1K0C7</t>
  </si>
  <si>
    <t>perrinsarah09@gmail.com</t>
  </si>
  <si>
    <t>Hissh Kahn, Sobhan</t>
  </si>
  <si>
    <t>RUE DES VOILIERS</t>
  </si>
  <si>
    <t>H7R6J8</t>
  </si>
  <si>
    <t>sobhan.soccer.04@gmail.com</t>
  </si>
  <si>
    <t>H2S2J2</t>
  </si>
  <si>
    <t>Bastiampillai, Christian</t>
  </si>
  <si>
    <t>AVENUE BOURRET</t>
  </si>
  <si>
    <t>H3W1L4</t>
  </si>
  <si>
    <t>bastiampillaic@gmail.com</t>
  </si>
  <si>
    <t>Chakib, Mohammed Amine</t>
  </si>
  <si>
    <t>RUE FLORIAN</t>
  </si>
  <si>
    <t>H2K2P4</t>
  </si>
  <si>
    <t>m.amine.chkb@gmail.com</t>
  </si>
  <si>
    <t>Thurel-Nazaire, Clarence</t>
  </si>
  <si>
    <t>AVENUE OLIER</t>
  </si>
  <si>
    <t>H1G3P1</t>
  </si>
  <si>
    <t>kyrieirvingtn@gmail.com</t>
  </si>
  <si>
    <t>Bossé, Florent B.</t>
  </si>
  <si>
    <t>CHEMIN DE LA CÔTE-SAINTE-CATHERINE</t>
  </si>
  <si>
    <t>H2V2A8</t>
  </si>
  <si>
    <t>Florent.bosse@icloud.com</t>
  </si>
  <si>
    <t>Bourijate, Akram</t>
  </si>
  <si>
    <t>8E AVENUE</t>
  </si>
  <si>
    <t>H2A3C8</t>
  </si>
  <si>
    <t>Akrambourijate04@gmail.com</t>
  </si>
  <si>
    <t>Bourijate, Aymen</t>
  </si>
  <si>
    <t>aymen.bourijate.2004@gmail.com</t>
  </si>
  <si>
    <t>Bouazza, Amira</t>
  </si>
  <si>
    <t>RUE BELCOURT</t>
  </si>
  <si>
    <t>J4M1M3</t>
  </si>
  <si>
    <t>mirroush213@gmail.com</t>
  </si>
  <si>
    <t>Kankonde, Nissy-Ntambwe</t>
  </si>
  <si>
    <t>AVENUE LOUIS LUMIÈRE</t>
  </si>
  <si>
    <t>H1E2Y6</t>
  </si>
  <si>
    <t>nkankonde@outlook.com</t>
  </si>
  <si>
    <t>MENNEREUIL</t>
  </si>
  <si>
    <t>Marcellus, Marc André</t>
  </si>
  <si>
    <t>2E AV</t>
  </si>
  <si>
    <t>H1Z2T1</t>
  </si>
  <si>
    <t>marcellusma20@gmail.com</t>
  </si>
  <si>
    <t>Jacques, Valérie</t>
  </si>
  <si>
    <t>RUE VÉNIARD</t>
  </si>
  <si>
    <t>H4R1S5</t>
  </si>
  <si>
    <t>valeriejacques1975@gmail.com</t>
  </si>
  <si>
    <t>Boulajfane, Mayssa</t>
  </si>
  <si>
    <t>AVENUE DUCHARME</t>
  </si>
  <si>
    <t>H2V1G3</t>
  </si>
  <si>
    <t>mayssa.boul@hotmail.com</t>
  </si>
  <si>
    <t>Diallo, Mariama</t>
  </si>
  <si>
    <t>H1M2C1</t>
  </si>
  <si>
    <t>rinadiallo224@gmail.com</t>
  </si>
  <si>
    <t>Gurici, Stefania Amalia</t>
  </si>
  <si>
    <t>H1Y0C9</t>
  </si>
  <si>
    <t>steph62637@gmail.com</t>
  </si>
  <si>
    <t>Daho, Mohammed Nadir</t>
  </si>
  <si>
    <t>BOULEVARD DES LAURENTIDES</t>
  </si>
  <si>
    <t>H7H2V3</t>
  </si>
  <si>
    <t>nadirdaho@gmail.com</t>
  </si>
  <si>
    <t>Mangifesto, Luka</t>
  </si>
  <si>
    <t>15ÈME AVENUE</t>
  </si>
  <si>
    <t>H2A2V2</t>
  </si>
  <si>
    <t>mangifestoluka@gmail.com</t>
  </si>
  <si>
    <t>Ledain, Dereck</t>
  </si>
  <si>
    <t>H1G3A7</t>
  </si>
  <si>
    <t>ledaindereck@gmail.com</t>
  </si>
  <si>
    <t>Ben Othman, Selim</t>
  </si>
  <si>
    <t>AV CARLTON</t>
  </si>
  <si>
    <t>H3W1G5</t>
  </si>
  <si>
    <t>selimbenothman34@gmail.com</t>
  </si>
  <si>
    <t>Daniel, John's</t>
  </si>
  <si>
    <t>9E AVENUE</t>
  </si>
  <si>
    <t>H1Z2Z3</t>
  </si>
  <si>
    <t>danieljohns2003@hotmail.com</t>
  </si>
  <si>
    <t>Chen, David</t>
  </si>
  <si>
    <t>10E AVENUE</t>
  </si>
  <si>
    <t>H1Y2H6</t>
  </si>
  <si>
    <t>chendavid14j@gmail.com</t>
  </si>
  <si>
    <t>H1M1T4</t>
  </si>
  <si>
    <t>Khiari, Ines</t>
  </si>
  <si>
    <t>9805 RUE FRANCHEVILLE</t>
  </si>
  <si>
    <t>H2C3G5</t>
  </si>
  <si>
    <t>Ineskh008@hotmail.com</t>
  </si>
  <si>
    <t>Pierre, Littbaski Austin</t>
  </si>
  <si>
    <t>RUE SAINT-ANTOINE OUEST</t>
  </si>
  <si>
    <t>H3J1A2</t>
  </si>
  <si>
    <t>littbaski111@gmail.com</t>
  </si>
  <si>
    <t>Maiorano, Mélina</t>
  </si>
  <si>
    <t>H1W3B1</t>
  </si>
  <si>
    <t>maiorano.melina@gmail.com</t>
  </si>
  <si>
    <t>SAINT-JEAN-SUR-RICHELIEU</t>
  </si>
  <si>
    <t>CHAMBLY</t>
  </si>
  <si>
    <t>Dubois, Karl</t>
  </si>
  <si>
    <t>CH DE CHAMBLY</t>
  </si>
  <si>
    <t>J3Y3P7</t>
  </si>
  <si>
    <t>karl.dubois.chum@ssss.gouv.qc.ca</t>
  </si>
  <si>
    <t>Dufort Venne, Sara</t>
  </si>
  <si>
    <t>DE LA GRANDE-ALLÉE BLVD</t>
  </si>
  <si>
    <t>BOISBRIAND</t>
  </si>
  <si>
    <t>J7G2Z8</t>
  </si>
  <si>
    <t>sara331@hotmail.com</t>
  </si>
  <si>
    <t>Frappier, Amélie</t>
  </si>
  <si>
    <t>RANG SAINT-DENIS</t>
  </si>
  <si>
    <t>SAINT-ANDRÉ-AVELLIN</t>
  </si>
  <si>
    <t>J0V1W0</t>
  </si>
  <si>
    <t>ameliefrappier1998@hotmail.com</t>
  </si>
  <si>
    <t>Guillet, Catherine</t>
  </si>
  <si>
    <t>OUELLETTE</t>
  </si>
  <si>
    <t>MARIEVILLE</t>
  </si>
  <si>
    <t>J3M1C2</t>
  </si>
  <si>
    <t>Cath.guillet@hotmail.com</t>
  </si>
  <si>
    <t>Jolin, Mélanie</t>
  </si>
  <si>
    <t>RUE PLESSIS</t>
  </si>
  <si>
    <t>H7E1A6</t>
  </si>
  <si>
    <t>2199079@crosemont.qc.ca</t>
  </si>
  <si>
    <t>J6Y1Y9</t>
  </si>
  <si>
    <t>GATINEAU</t>
  </si>
  <si>
    <t>Michaud, Vincent</t>
  </si>
  <si>
    <t>BOUVIER</t>
  </si>
  <si>
    <t>H8N2G6</t>
  </si>
  <si>
    <t>vincent.michaud.comtl@ssss.gouv.qc.ca</t>
  </si>
  <si>
    <t>Moquin, Martine</t>
  </si>
  <si>
    <t>ST-AMBROISE</t>
  </si>
  <si>
    <t>H4C2E9</t>
  </si>
  <si>
    <t>MARTINE.MOQUIN.DLL@SSSS.GOUV.QC.CA</t>
  </si>
  <si>
    <t>Moyen, Sophie</t>
  </si>
  <si>
    <t>RENÉ-LAENNEC</t>
  </si>
  <si>
    <t>H7K3S5</t>
  </si>
  <si>
    <t>sophiemoyen@hotmail.com</t>
  </si>
  <si>
    <t>LASALLE</t>
  </si>
  <si>
    <t>Grenier, Christine</t>
  </si>
  <si>
    <t>RUE RACHEL E</t>
  </si>
  <si>
    <t>H2H1R5</t>
  </si>
  <si>
    <t>christou.grenier@gmail.com</t>
  </si>
  <si>
    <t>FARNHAM</t>
  </si>
  <si>
    <t>Djoukouo Fonkou, Carine</t>
  </si>
  <si>
    <t>DE LA CIGALE</t>
  </si>
  <si>
    <t>J7M1X9</t>
  </si>
  <si>
    <t>fonkarine2003@yahoo.fr</t>
  </si>
  <si>
    <t>Martel, Julie</t>
  </si>
  <si>
    <t>DUMOUCHEL</t>
  </si>
  <si>
    <t>J6R0A3</t>
  </si>
  <si>
    <t>julie.martel002@gmail.com</t>
  </si>
  <si>
    <t>Ayad, Youssef</t>
  </si>
  <si>
    <t>H3S1P2</t>
  </si>
  <si>
    <t>youssef.ayadpro@gmail.com</t>
  </si>
  <si>
    <t>Ariste, Kindy</t>
  </si>
  <si>
    <t>AV MERCIER</t>
  </si>
  <si>
    <t>H1L5H2</t>
  </si>
  <si>
    <t>aristekindy93@gmail.com</t>
  </si>
  <si>
    <t>Mbûntho Yatchou, Vanetta Ludivine</t>
  </si>
  <si>
    <t>RUE JOLIETTE</t>
  </si>
  <si>
    <t>J4K4X1</t>
  </si>
  <si>
    <t>laura_condei@hotmail.fr</t>
  </si>
  <si>
    <t>MONT-SAINT-HILAIRE</t>
  </si>
  <si>
    <t>Charlot, Sandeline</t>
  </si>
  <si>
    <t>FRANCOIS-PERRAULT</t>
  </si>
  <si>
    <t>H2A1M5</t>
  </si>
  <si>
    <t>sandelinec26@gmail.com</t>
  </si>
  <si>
    <t>Intégration à la profession infirmière (recrutement i</t>
  </si>
  <si>
    <t>Dieng, Abibatou</t>
  </si>
  <si>
    <t>SHERBROOKE E ST</t>
  </si>
  <si>
    <t>H1N0E3</t>
  </si>
  <si>
    <t>abibatoudieng20@gmail.com</t>
  </si>
  <si>
    <t>Asina Lihoto, Ruth</t>
  </si>
  <si>
    <t>ruthasina2003@gmail.com</t>
  </si>
  <si>
    <t>Idrissi, Abdelmounim</t>
  </si>
  <si>
    <t>H1E1A3</t>
  </si>
  <si>
    <t>idrissiste@gmail.com</t>
  </si>
  <si>
    <t>RUE MASSEY</t>
  </si>
  <si>
    <t>Duno Moreno, Maria Eugenia</t>
  </si>
  <si>
    <t>RUE CIRCLE</t>
  </si>
  <si>
    <t>H9H2G8</t>
  </si>
  <si>
    <t>mariaduno@gmail.com</t>
  </si>
  <si>
    <t>Joseph, Allan Lupez</t>
  </si>
  <si>
    <t>allan10@live.ca</t>
  </si>
  <si>
    <t>Allard, Carole-Anne</t>
  </si>
  <si>
    <t>RUE LABELLE</t>
  </si>
  <si>
    <t>J4J4W8</t>
  </si>
  <si>
    <t>karolane_18@hotmail.com</t>
  </si>
  <si>
    <t>RUE JEAN TALON EST</t>
  </si>
  <si>
    <t>AV DE PARIS</t>
  </si>
  <si>
    <t>Prammo Zang, Erwin Lashwana</t>
  </si>
  <si>
    <t>RUE ALICE-NOLIN</t>
  </si>
  <si>
    <t>H4N3G7</t>
  </si>
  <si>
    <t>lashwanap@gmail.com</t>
  </si>
  <si>
    <t>Rainville Jacques, Nicholson</t>
  </si>
  <si>
    <t>DE BELLECHASSE</t>
  </si>
  <si>
    <t>H1T2A6</t>
  </si>
  <si>
    <t>jaddiss2001@hotmail.com</t>
  </si>
  <si>
    <t>Joseph, Matilia</t>
  </si>
  <si>
    <t>RUE PASCAL</t>
  </si>
  <si>
    <t>H1G1T5</t>
  </si>
  <si>
    <t>matiliajoseph90@gmail.com</t>
  </si>
  <si>
    <t>Masabo, Chris Orly</t>
  </si>
  <si>
    <t>RUE MARCEL PEPIN</t>
  </si>
  <si>
    <t>H1W0A5</t>
  </si>
  <si>
    <t>chrisorly29@gmail.com</t>
  </si>
  <si>
    <t>Palamarchuk, Elisabeth</t>
  </si>
  <si>
    <t>H1T2A8</t>
  </si>
  <si>
    <t>bethpeanut@icloud.com</t>
  </si>
  <si>
    <t>Cortadellas, Trajan</t>
  </si>
  <si>
    <t>H2A2G4</t>
  </si>
  <si>
    <t>trajan.cortadellass@gmail.com</t>
  </si>
  <si>
    <t>ROSEMÈRE</t>
  </si>
  <si>
    <t>Habimana, Lleyton</t>
  </si>
  <si>
    <t>OLYMPIA</t>
  </si>
  <si>
    <t>PIERREFONDS-ROXBORO</t>
  </si>
  <si>
    <t>H8Y1Y8</t>
  </si>
  <si>
    <t>lleytonhabimana@gmail.com</t>
  </si>
  <si>
    <t>Mekki Daouadji, Khadija</t>
  </si>
  <si>
    <t>AV DE LA NANTAISE</t>
  </si>
  <si>
    <t>H1M3B7</t>
  </si>
  <si>
    <t>Khadijamd31@outlook.fr</t>
  </si>
  <si>
    <t>Cormier, Jérémy</t>
  </si>
  <si>
    <t>RUE CHARTIER</t>
  </si>
  <si>
    <t>J5Z3T8</t>
  </si>
  <si>
    <t>jeremycormier@hotmail.ca</t>
  </si>
  <si>
    <t>Perreault, Marc-Antoine</t>
  </si>
  <si>
    <t>H1X1M1</t>
  </si>
  <si>
    <t>markiki2003@gmail.com</t>
  </si>
  <si>
    <t>Lépine, Antoine</t>
  </si>
  <si>
    <t>CROIS DU LAC</t>
  </si>
  <si>
    <t>RAWDON</t>
  </si>
  <si>
    <t>J0K1S0</t>
  </si>
  <si>
    <t>antoinelepine10@gmail.com</t>
  </si>
  <si>
    <t>Barrios Gonzalez, Aylin-Yanely</t>
  </si>
  <si>
    <t>RUE DES CÈDRES</t>
  </si>
  <si>
    <t>H7A2V8</t>
  </si>
  <si>
    <t>aylin-yanely@hotmail.com</t>
  </si>
  <si>
    <t>Perreault, Mathis</t>
  </si>
  <si>
    <t>DE LESPINAY</t>
  </si>
  <si>
    <t>J6X1H6</t>
  </si>
  <si>
    <t>mathis.p@hotmail.ca</t>
  </si>
  <si>
    <t>Rafiqzad, Sahar</t>
  </si>
  <si>
    <t>RUE BLANCHET</t>
  </si>
  <si>
    <t>J4M1H9</t>
  </si>
  <si>
    <t>sedrah_429@hotmail.com</t>
  </si>
  <si>
    <t>Symala, Bartek</t>
  </si>
  <si>
    <t>RUE PAILLÉ</t>
  </si>
  <si>
    <t>H7H3C4</t>
  </si>
  <si>
    <t>bartek.symala@gmail.com</t>
  </si>
  <si>
    <t>Barbier, Joséphine</t>
  </si>
  <si>
    <t>RUE DU MOULIN</t>
  </si>
  <si>
    <t>LES MOULINS</t>
  </si>
  <si>
    <t>J6X4C1</t>
  </si>
  <si>
    <t>josephine24502@gmail.com</t>
  </si>
  <si>
    <t>Antoine, Kaëlle Frantzley</t>
  </si>
  <si>
    <t>AVE DE FONTEVRAULT</t>
  </si>
  <si>
    <t>H1J1E2</t>
  </si>
  <si>
    <t>kaelleanto123@gmail.com</t>
  </si>
  <si>
    <t>Benoit-Joassin, Alexis</t>
  </si>
  <si>
    <t>H2J3C8</t>
  </si>
  <si>
    <t>alexisbjoassin@gmail.com</t>
  </si>
  <si>
    <t>Futin, Lauranne</t>
  </si>
  <si>
    <t>RUE JEANNE-MANCE</t>
  </si>
  <si>
    <t>H2V4K9</t>
  </si>
  <si>
    <t>laurannefutin@gmail.com</t>
  </si>
  <si>
    <t>Option Médias</t>
  </si>
  <si>
    <t>Boussine, Mouad</t>
  </si>
  <si>
    <t>AVENUE CHARTRAND</t>
  </si>
  <si>
    <t>H1G3P6</t>
  </si>
  <si>
    <t>ronalmouad@hotmail.com</t>
  </si>
  <si>
    <t>Sou II, Daniel</t>
  </si>
  <si>
    <t>RUE ALEXANDRE</t>
  </si>
  <si>
    <t>J6W4Z3</t>
  </si>
  <si>
    <t>Danielsou399@outlook.com</t>
  </si>
  <si>
    <t>Mathelier-Jeanty, Frédérick</t>
  </si>
  <si>
    <t>AVENUE CANDES</t>
  </si>
  <si>
    <t>H1K1K8</t>
  </si>
  <si>
    <t>2092040@crosemont.qc.ca</t>
  </si>
  <si>
    <t>Munger, Jessica</t>
  </si>
  <si>
    <t>BOULEVARD KIMBER</t>
  </si>
  <si>
    <t>J3Y3A4</t>
  </si>
  <si>
    <t>jess_music1996@yahoo.com</t>
  </si>
  <si>
    <t>Medjaouri, Mehdi</t>
  </si>
  <si>
    <t>RUE PIERRE-MAGNAN</t>
  </si>
  <si>
    <t>H1M1A5</t>
  </si>
  <si>
    <t>mehdimedj213@gmail.com</t>
  </si>
  <si>
    <t>Messaili, Asmaa</t>
  </si>
  <si>
    <t>H1M2G8</t>
  </si>
  <si>
    <t>asmaa123@live.ca</t>
  </si>
  <si>
    <t>Nkeumbeum Futat, Marcelline</t>
  </si>
  <si>
    <t>H1Z3J4</t>
  </si>
  <si>
    <t>nmarcelline21@gmail.com</t>
  </si>
  <si>
    <t>Ascoli, Tanisha</t>
  </si>
  <si>
    <t>AVENUE ÉMILE-JOURNAULT</t>
  </si>
  <si>
    <t>H2M1K4</t>
  </si>
  <si>
    <t>ascolitanisha@gmail.com</t>
  </si>
  <si>
    <t>Lahlouh, Meriam</t>
  </si>
  <si>
    <t>RUE BOMBARDIER</t>
  </si>
  <si>
    <t>H1J2G2</t>
  </si>
  <si>
    <t>meriamlahlouh8@gmail.com</t>
  </si>
  <si>
    <t>Kadri, Teldja</t>
  </si>
  <si>
    <t>H1J3B7</t>
  </si>
  <si>
    <t>teldja.kadri87@gmail.com</t>
  </si>
  <si>
    <t>Delaa, Aziz Rayene</t>
  </si>
  <si>
    <t>AVENUE GUYBOURG</t>
  </si>
  <si>
    <t>H1N2X5</t>
  </si>
  <si>
    <t>rayenne315@gmail.com</t>
  </si>
  <si>
    <t>Hamidi, Rayan</t>
  </si>
  <si>
    <t>AVENUE VERNANTES</t>
  </si>
  <si>
    <t>H1J1W2</t>
  </si>
  <si>
    <t>hamidirayan27@gmail.com</t>
  </si>
  <si>
    <t>Lafleur, Héloïse</t>
  </si>
  <si>
    <t>DE BEAURIVAGE</t>
  </si>
  <si>
    <t>H1L5V8</t>
  </si>
  <si>
    <t>lafleurhelo@gmail.com</t>
  </si>
  <si>
    <t>Narcisse, Marvens Theddy</t>
  </si>
  <si>
    <t>AVENUE LOUIS-DESSAULLES</t>
  </si>
  <si>
    <t>H1E7H6</t>
  </si>
  <si>
    <t>theddy1402@gmail.com</t>
  </si>
  <si>
    <t>Pouliot, Maxim</t>
  </si>
  <si>
    <t>ST-JACQUES</t>
  </si>
  <si>
    <t>J5Z1Z7</t>
  </si>
  <si>
    <t>maxpou04@gmail.com</t>
  </si>
  <si>
    <t>Ocana, Adrianna</t>
  </si>
  <si>
    <t>H2G1A5</t>
  </si>
  <si>
    <t>ocana.adri14@gmail.com</t>
  </si>
  <si>
    <t>Zhang, Daguang</t>
  </si>
  <si>
    <t>H1X1P5</t>
  </si>
  <si>
    <t>zhangdaguang73@gmail.com</t>
  </si>
  <si>
    <t>Itim, Idir</t>
  </si>
  <si>
    <t>H1X1B7</t>
  </si>
  <si>
    <t>idir.itim@gmail.com</t>
  </si>
  <si>
    <t>Pannese, Massimo</t>
  </si>
  <si>
    <t>massimo.pannese001@gmail.com</t>
  </si>
  <si>
    <t>Elie, Gabrielle</t>
  </si>
  <si>
    <t>RUE DES ÉCORES</t>
  </si>
  <si>
    <t>H2G2J9</t>
  </si>
  <si>
    <t>axgab.elie@gmail.com</t>
  </si>
  <si>
    <t>RUE EDGAR - PRAIRIE</t>
  </si>
  <si>
    <t>Urure Arias, Avril</t>
  </si>
  <si>
    <t>RUE LECOURT</t>
  </si>
  <si>
    <t>J6A5Y1</t>
  </si>
  <si>
    <t>avrilurure@gmail.com</t>
  </si>
  <si>
    <t>Byrne, Chiara</t>
  </si>
  <si>
    <t>AVENUE DE CHATEAUBRIAND</t>
  </si>
  <si>
    <t>H2S2N6</t>
  </si>
  <si>
    <t>Chiaranb77@gmail.com</t>
  </si>
  <si>
    <t>BOULEVARD ROBIN</t>
  </si>
  <si>
    <t>H7N1W5</t>
  </si>
  <si>
    <t>Pierre-Louis, Marc-Hernest</t>
  </si>
  <si>
    <t>H1X1A7</t>
  </si>
  <si>
    <t>marchernestpierrelouis@gmail.com</t>
  </si>
  <si>
    <t>Diallo, Abdoulaye</t>
  </si>
  <si>
    <t>H1M2W6</t>
  </si>
  <si>
    <t>abdlaye44@gmail.com</t>
  </si>
  <si>
    <t>Sanchez-Ogosi, Aracely</t>
  </si>
  <si>
    <t>PLACE LOUIS-CHARTIER</t>
  </si>
  <si>
    <t>H1E4N5</t>
  </si>
  <si>
    <t>sanchezaracely806@gmail.com</t>
  </si>
  <si>
    <t>Sciences humaines: Profil administration et entrepre.</t>
  </si>
  <si>
    <t>Rheau, Lea</t>
  </si>
  <si>
    <t>DESANGEVINS</t>
  </si>
  <si>
    <t>H1K3R4</t>
  </si>
  <si>
    <t>learheau@gmail.com</t>
  </si>
  <si>
    <t>Chodaton, Hosana Fifamin</t>
  </si>
  <si>
    <t>H1X1K6</t>
  </si>
  <si>
    <t>chodatonhosana@gmail.com</t>
  </si>
  <si>
    <t>Phok, Chansomunin</t>
  </si>
  <si>
    <t>RUE JEAN-TALON EST</t>
  </si>
  <si>
    <t>H2A1W7</t>
  </si>
  <si>
    <t>somuninphok@gmail.com</t>
  </si>
  <si>
    <t>Philippe, Ashley</t>
  </si>
  <si>
    <t>RUE DE L'ADJUDANT</t>
  </si>
  <si>
    <t>H7E5L9</t>
  </si>
  <si>
    <t>ashleyphilippe77@gmail.com</t>
  </si>
  <si>
    <t>Galdamez Rodriguez, Karla</t>
  </si>
  <si>
    <t>H1Z3G6</t>
  </si>
  <si>
    <t>catracha@live.ca</t>
  </si>
  <si>
    <t>Abidi, Eya</t>
  </si>
  <si>
    <t>RUE STEPHENS</t>
  </si>
  <si>
    <t>H4H2H1</t>
  </si>
  <si>
    <t>eyyaabidi@gmail.com</t>
  </si>
  <si>
    <t>Edmond, Bethsaïda</t>
  </si>
  <si>
    <t>H1H3R9</t>
  </si>
  <si>
    <t>edmondbethsaida1979@gmail.com</t>
  </si>
  <si>
    <t>Riahi, Maha</t>
  </si>
  <si>
    <t>H2E1G8</t>
  </si>
  <si>
    <t>riahimaha08@gmail.com</t>
  </si>
  <si>
    <t>Audouze, Anyssa</t>
  </si>
  <si>
    <t>H1W3P7</t>
  </si>
  <si>
    <t>anyssaaudouze@icloud.com</t>
  </si>
  <si>
    <t>Keita, Bafing Simbo</t>
  </si>
  <si>
    <t>RUE DE TRACY</t>
  </si>
  <si>
    <t>H4J2N4</t>
  </si>
  <si>
    <t>bafingsimbokeita@gmail.com</t>
  </si>
  <si>
    <t>Celestin, Jean Daniel</t>
  </si>
  <si>
    <t>H1T1R3</t>
  </si>
  <si>
    <t>danielcelestin2006@gmail.com</t>
  </si>
  <si>
    <t>Yu, Hai Camille</t>
  </si>
  <si>
    <t>camille.jiaming@gmail.com</t>
  </si>
  <si>
    <t>RUE PRINCIPALE</t>
  </si>
  <si>
    <t>Wang, Jun</t>
  </si>
  <si>
    <t>BOULEVARD MILAN</t>
  </si>
  <si>
    <t>J4Z2A8</t>
  </si>
  <si>
    <t>jennywang159357@gmail.com</t>
  </si>
  <si>
    <t>Bien Aimé, Sophia</t>
  </si>
  <si>
    <t>sophbienaime@gmail.com</t>
  </si>
  <si>
    <t>Solano Gomez, Loida Carolina</t>
  </si>
  <si>
    <t>RUE DE GENTILLY EST</t>
  </si>
  <si>
    <t>J4J4L2</t>
  </si>
  <si>
    <t>lcarolina.solanog@gmail.com</t>
  </si>
  <si>
    <t>Clovis, Kelly Henri</t>
  </si>
  <si>
    <t>AVE BOURBONNIÈRE</t>
  </si>
  <si>
    <t>H1W3P6</t>
  </si>
  <si>
    <t>francois.clovis.ca@gmail.com</t>
  </si>
  <si>
    <t>Allary, Helen</t>
  </si>
  <si>
    <t>RUE DE LA SEIGNEURIE</t>
  </si>
  <si>
    <t>ST-PAUL</t>
  </si>
  <si>
    <t>J0K3E0</t>
  </si>
  <si>
    <t>2244268@crosemont.qc.ca</t>
  </si>
  <si>
    <t>SHERBROOKE</t>
  </si>
  <si>
    <t>Hanafi, Aymen</t>
  </si>
  <si>
    <t>Ayman.hanafi03@gmail.com</t>
  </si>
  <si>
    <t>Dumais, Audrey</t>
  </si>
  <si>
    <t>H1A5T9</t>
  </si>
  <si>
    <t>audrey.dumais@outlook.com</t>
  </si>
  <si>
    <t>Ferkous, Mohamed Louai</t>
  </si>
  <si>
    <t>mohamedlouaiferkous@gmail.com</t>
  </si>
  <si>
    <t>Chaki, Aymane</t>
  </si>
  <si>
    <t>AV DU MONT-ROYAL E</t>
  </si>
  <si>
    <t>H1Y0E5</t>
  </si>
  <si>
    <t>aymanechaki10@gmail.com</t>
  </si>
  <si>
    <t>Bourhim, Adam</t>
  </si>
  <si>
    <t>3469 RUE DE BELLECHASSE</t>
  </si>
  <si>
    <t>BOURHIMADAM2022@outlook.fr</t>
  </si>
  <si>
    <t>Mwashi Banza, Anais</t>
  </si>
  <si>
    <t>RUE DE GRUYÈRES</t>
  </si>
  <si>
    <t>H7K2A7</t>
  </si>
  <si>
    <t>mwashianais@gmail.com</t>
  </si>
  <si>
    <t>Bachiri, Rayan</t>
  </si>
  <si>
    <t>H2E2L2</t>
  </si>
  <si>
    <t>rayanbachiri60@gmail.com</t>
  </si>
  <si>
    <t>Qailech, Manal</t>
  </si>
  <si>
    <t>RUE YOUNG</t>
  </si>
  <si>
    <t>H3C0Z6</t>
  </si>
  <si>
    <t>manalqh24@outlook.com</t>
  </si>
  <si>
    <t>Programmation orientée objet et technologies WEB</t>
  </si>
  <si>
    <t>Roy, Marianne</t>
  </si>
  <si>
    <t>AV PAPINEAU</t>
  </si>
  <si>
    <t>CANDIAC</t>
  </si>
  <si>
    <t>J5R5S8</t>
  </si>
  <si>
    <t>marianne-roy-23@hotmail.com</t>
  </si>
  <si>
    <t>Couillard, Sandrine</t>
  </si>
  <si>
    <t>DE LA TRAVERSÉE BLVD</t>
  </si>
  <si>
    <t>J7Y0P2</t>
  </si>
  <si>
    <t>sandrine.couillard99@hotmail.com</t>
  </si>
  <si>
    <t>Uddin, Sohana</t>
  </si>
  <si>
    <t>sohanakhatar@gmail.com</t>
  </si>
  <si>
    <t>Ben Amor, Dalel</t>
  </si>
  <si>
    <t>RUE DU SAGUENAY</t>
  </si>
  <si>
    <t>H1R2M5</t>
  </si>
  <si>
    <t>dallel.benamor@gmail.com</t>
  </si>
  <si>
    <t>Laperle, Gabrielle</t>
  </si>
  <si>
    <t>H1B5S5</t>
  </si>
  <si>
    <t>gabylaperle@hotmail.com</t>
  </si>
  <si>
    <t>RUE RAINIER</t>
  </si>
  <si>
    <t>H1T3W4</t>
  </si>
  <si>
    <t>Salazar Raez, Jonatan</t>
  </si>
  <si>
    <t>AVENUE MARIE G LAJOIE</t>
  </si>
  <si>
    <t>H1J2N5</t>
  </si>
  <si>
    <t>jonaransalazar.2005@gmail.com</t>
  </si>
  <si>
    <t>Grenier, Vincent</t>
  </si>
  <si>
    <t>20E AVENUE</t>
  </si>
  <si>
    <t>H2A2K3</t>
  </si>
  <si>
    <t>vingrenier21@gmail.com</t>
  </si>
  <si>
    <t>Assigbi, Afi Jessica</t>
  </si>
  <si>
    <t>H1M2W4</t>
  </si>
  <si>
    <t>jessicaassigbi@gmail.com</t>
  </si>
  <si>
    <t>Cloutier, Vanessa</t>
  </si>
  <si>
    <t>RUE GOUPIL</t>
  </si>
  <si>
    <t>J2W1Z5</t>
  </si>
  <si>
    <t>v_cloutier@hotmail.fr</t>
  </si>
  <si>
    <t>VARENNES</t>
  </si>
  <si>
    <t>Brien-Racine, Maryse</t>
  </si>
  <si>
    <t>RUE DES SITTELLES</t>
  </si>
  <si>
    <t>SAINT-LAZARE</t>
  </si>
  <si>
    <t>J7T2N8</t>
  </si>
  <si>
    <t>maryse.b-racine@live.ca</t>
  </si>
  <si>
    <t>Men, Kânitha Stéphanie</t>
  </si>
  <si>
    <t>AVENUE APPLETON</t>
  </si>
  <si>
    <t>H3S1L6</t>
  </si>
  <si>
    <t>Kanithamen@hotmail.com</t>
  </si>
  <si>
    <t>Roy, Arianne</t>
  </si>
  <si>
    <t>NOTRE DAME</t>
  </si>
  <si>
    <t>J6A0C4</t>
  </si>
  <si>
    <t>Arianne.roy07@gmail.com</t>
  </si>
  <si>
    <t>Huard, Mélissa</t>
  </si>
  <si>
    <t>RUE BRÉBEUF</t>
  </si>
  <si>
    <t>J4J3P1</t>
  </si>
  <si>
    <t>melissa_huard@hotmail.com</t>
  </si>
  <si>
    <t>Beaudoin, Eve</t>
  </si>
  <si>
    <t>CHEMIN DE VAL DU REPOS</t>
  </si>
  <si>
    <t>VAL-D'OR</t>
  </si>
  <si>
    <t>J9P0C3</t>
  </si>
  <si>
    <t>eve.beaudoin@usherbrooke.ca</t>
  </si>
  <si>
    <t>Deland, Léanne</t>
  </si>
  <si>
    <t>J5Z4L8</t>
  </si>
  <si>
    <t>leannedeland8@gmail.com</t>
  </si>
  <si>
    <t>Lacatusu-Tran, Teodor</t>
  </si>
  <si>
    <t>BEAUDET</t>
  </si>
  <si>
    <t>H4L2K4</t>
  </si>
  <si>
    <t>teodorlt@hotmail.com</t>
  </si>
  <si>
    <t>Huynh, Flora</t>
  </si>
  <si>
    <t>RUE BELLEVUE</t>
  </si>
  <si>
    <t>J4V1C8</t>
  </si>
  <si>
    <t>florah1909@gmail.com</t>
  </si>
  <si>
    <t>Aichour, Maram Hafsia</t>
  </si>
  <si>
    <t>H1S1L6</t>
  </si>
  <si>
    <t>maram.aichour@outlook.com</t>
  </si>
  <si>
    <t>Gaudet, Coralie</t>
  </si>
  <si>
    <t>RUE BRASSARD</t>
  </si>
  <si>
    <t>J3Y6S6</t>
  </si>
  <si>
    <t>gaudetcoralie8@gmail.com</t>
  </si>
  <si>
    <t>Taha-Madad, Adam Amin</t>
  </si>
  <si>
    <t>RUE JEAN-BRILLANT</t>
  </si>
  <si>
    <t>H3T1P2</t>
  </si>
  <si>
    <t>adam.madad@gmail.com</t>
  </si>
  <si>
    <t>Smith-Côté, Camille</t>
  </si>
  <si>
    <t>1ÈRE AVENUE</t>
  </si>
  <si>
    <t>DELSON</t>
  </si>
  <si>
    <t>J5B1N1</t>
  </si>
  <si>
    <t>camillesmithcote@gmail.com</t>
  </si>
  <si>
    <t>Therrien-Alcide, Raphaël</t>
  </si>
  <si>
    <t>AVENUE LAVAL</t>
  </si>
  <si>
    <t>H2W2H9</t>
  </si>
  <si>
    <t>raphaeltherrien23@gmail.com</t>
  </si>
  <si>
    <t>ALLÉE LÉO-BRICAULT</t>
  </si>
  <si>
    <t>H1Z0B4</t>
  </si>
  <si>
    <t>Jean, Joannie</t>
  </si>
  <si>
    <t>AV DU TRÉSOR-CACHE</t>
  </si>
  <si>
    <t>H8R3K2</t>
  </si>
  <si>
    <t>joanniejean1242@hotmail.com</t>
  </si>
  <si>
    <t>Marchand, Florence</t>
  </si>
  <si>
    <t>H2K4E9</t>
  </si>
  <si>
    <t>florencemarchand@yahoo.ca</t>
  </si>
  <si>
    <t>Nouri, Khadija</t>
  </si>
  <si>
    <t>nourikhadija775@gmail.com</t>
  </si>
  <si>
    <t>Orville, Mattéo</t>
  </si>
  <si>
    <t>AVENUE BORDEN</t>
  </si>
  <si>
    <t>H4V2S9</t>
  </si>
  <si>
    <t>orvillematteo@gmail.com</t>
  </si>
  <si>
    <t>Simard, Aïlann</t>
  </si>
  <si>
    <t>RUE SAINT-LAURENT</t>
  </si>
  <si>
    <t>J7P4K6</t>
  </si>
  <si>
    <t>ailann2468@live.com</t>
  </si>
  <si>
    <t>Smolynecky-Caron, Magaly</t>
  </si>
  <si>
    <t>RUE FULLUM</t>
  </si>
  <si>
    <t>H2K3N5</t>
  </si>
  <si>
    <t>smolyneckycmagaly@gmail.com</t>
  </si>
  <si>
    <t>Luong, Nguyen Kathy Truc</t>
  </si>
  <si>
    <t>RUE DES LILAS</t>
  </si>
  <si>
    <t>H1G2G7</t>
  </si>
  <si>
    <t>kathhhluong@gmail.com</t>
  </si>
  <si>
    <t>Côté, Mélody</t>
  </si>
  <si>
    <t>RUE DES NOISETIERS</t>
  </si>
  <si>
    <t>LÉVIS</t>
  </si>
  <si>
    <t>G6V9S8</t>
  </si>
  <si>
    <t>melo211@outlook.com</t>
  </si>
  <si>
    <t>Oultache, Katia</t>
  </si>
  <si>
    <t>H1S1B9</t>
  </si>
  <si>
    <t>katiaoultache88@outlook.fr</t>
  </si>
  <si>
    <t>Bourgault, Meg Anh</t>
  </si>
  <si>
    <t>AV DE GASPÉ O</t>
  </si>
  <si>
    <t>SAINT-JEAN-PORT-JOLI</t>
  </si>
  <si>
    <t>G0R3G0</t>
  </si>
  <si>
    <t>bourgaultmeganh@gmail.com</t>
  </si>
  <si>
    <t>Larochelle-Langevin, Émile</t>
  </si>
  <si>
    <t>RUE JEAN-PAUL-LEMIEUX</t>
  </si>
  <si>
    <t>NOTRE-DAME-DE-L'ÎLE-PERROT</t>
  </si>
  <si>
    <t>J7W1P4</t>
  </si>
  <si>
    <t>emile107@outlook.fr</t>
  </si>
  <si>
    <t>Baillargeon, Philippe</t>
  </si>
  <si>
    <t>H1T1B9</t>
  </si>
  <si>
    <t>Baillargeon20@gmail.com</t>
  </si>
  <si>
    <t>Bahi, Samira</t>
  </si>
  <si>
    <t>RUE BEAUBIEN E</t>
  </si>
  <si>
    <t>H1M1B1</t>
  </si>
  <si>
    <t>samiraba249@gmail.com</t>
  </si>
  <si>
    <t>26E AVENUE</t>
  </si>
  <si>
    <t>Ramit, Rania</t>
  </si>
  <si>
    <t>H2A1E4</t>
  </si>
  <si>
    <t>rania.ramit@outlook.com</t>
  </si>
  <si>
    <t>Mili, Narimene</t>
  </si>
  <si>
    <t>RUE BOUVRET</t>
  </si>
  <si>
    <t>H1N1N8</t>
  </si>
  <si>
    <t>narimenemili@hotmail.com</t>
  </si>
  <si>
    <t>Nguyen, Huu Cat Tuong</t>
  </si>
  <si>
    <t>RUE DESCHAMBAULT</t>
  </si>
  <si>
    <t>H1R2C3</t>
  </si>
  <si>
    <t>tuannaco@gmail.com</t>
  </si>
  <si>
    <t>Bertrand-Gagné, Marie</t>
  </si>
  <si>
    <t>RUE D'ABBOTSFORD</t>
  </si>
  <si>
    <t>J6J1K3</t>
  </si>
  <si>
    <t>marietr666@outlook.fr</t>
  </si>
  <si>
    <t>Cyr, Thomas</t>
  </si>
  <si>
    <t>AVENUE DE GASPÉ</t>
  </si>
  <si>
    <t>H2P2J8</t>
  </si>
  <si>
    <t>00cyrt@gmail.com</t>
  </si>
  <si>
    <t>Panarisi, Lea</t>
  </si>
  <si>
    <t>RUE DE VACCARÈS</t>
  </si>
  <si>
    <t>J6Y0G1</t>
  </si>
  <si>
    <t>lea.panarisi13@gmail.com</t>
  </si>
  <si>
    <t>Abidi, Sadok</t>
  </si>
  <si>
    <t>RUE ORCHARD</t>
  </si>
  <si>
    <t>J3Y2G4</t>
  </si>
  <si>
    <t>sadokab@hotmail.com</t>
  </si>
  <si>
    <t>Belilita, Mohamed Anas</t>
  </si>
  <si>
    <t>AVENUE ÉVA CIRCÉ</t>
  </si>
  <si>
    <t>H1E4B5</t>
  </si>
  <si>
    <t>mohamedanasbelilita@gmail.com</t>
  </si>
  <si>
    <t>Galindo-Pinto, Tatiana</t>
  </si>
  <si>
    <t>RUE LÉA</t>
  </si>
  <si>
    <t>H7A3B1</t>
  </si>
  <si>
    <t>tatiana_colros@hotmail.com</t>
  </si>
  <si>
    <t>Ait Amer Meziane, Farida</t>
  </si>
  <si>
    <t>H1Z2L7</t>
  </si>
  <si>
    <t>aitamermezianef@gmail.com</t>
  </si>
  <si>
    <t>Dorais, Envy</t>
  </si>
  <si>
    <t>RUE DE LA CROIX</t>
  </si>
  <si>
    <t>J8B2S2</t>
  </si>
  <si>
    <t>xavionnatord@gmail.com</t>
  </si>
  <si>
    <t>Paquette-Darveau, Raphaëlle</t>
  </si>
  <si>
    <t>PLACE BOUTET</t>
  </si>
  <si>
    <t>H1N2Z9</t>
  </si>
  <si>
    <t>raph.paq@hotmail.com</t>
  </si>
  <si>
    <t>Chauvette, Guillaume</t>
  </si>
  <si>
    <t>RUE DES CARRIÈRES</t>
  </si>
  <si>
    <t>H1Y1M9</t>
  </si>
  <si>
    <t>Guillaumechauvette98@gmail.com</t>
  </si>
  <si>
    <t>Duchesne, Thomas</t>
  </si>
  <si>
    <t>AVENUE RODOLPHE-MATHIEU</t>
  </si>
  <si>
    <t>H1M3H9</t>
  </si>
  <si>
    <t>thomas.duchesne0730@gmail.com</t>
  </si>
  <si>
    <t>Côté, Noémie</t>
  </si>
  <si>
    <t>H2H2B1</t>
  </si>
  <si>
    <t>noemiecote2005@gmail.com</t>
  </si>
  <si>
    <t>Sabourin, Matthew</t>
  </si>
  <si>
    <t>RUE DE LA ROCHE</t>
  </si>
  <si>
    <t>H2S2C9</t>
  </si>
  <si>
    <t>sabourin88@hotmail.com</t>
  </si>
  <si>
    <t>El Asraoui, Ismaïl</t>
  </si>
  <si>
    <t>H2A2R4</t>
  </si>
  <si>
    <t>isdab212@gmail.com</t>
  </si>
  <si>
    <t>St-Pierre, Noémie</t>
  </si>
  <si>
    <t>J7C4N9</t>
  </si>
  <si>
    <t>nonomimiee21@gmail.com</t>
  </si>
  <si>
    <t>Laperrière, Mathis</t>
  </si>
  <si>
    <t>H1T4C1</t>
  </si>
  <si>
    <t>matlap650@gmail.com</t>
  </si>
  <si>
    <t>Gagnon, Victoria</t>
  </si>
  <si>
    <t>DE BELLEFEUILLE</t>
  </si>
  <si>
    <t>J7R2K5</t>
  </si>
  <si>
    <t>gagnonvicto@gmail.com</t>
  </si>
  <si>
    <t>Gacemi, Mehdi</t>
  </si>
  <si>
    <t>mehdigacemi321@gmail.com</t>
  </si>
  <si>
    <t>Sall, Ya Oulèye</t>
  </si>
  <si>
    <t>AVENUE LAMOUREUX</t>
  </si>
  <si>
    <t>H1G5M2</t>
  </si>
  <si>
    <t>yaouleyesally@gmail.com</t>
  </si>
  <si>
    <t>Monette, Isabelle</t>
  </si>
  <si>
    <t>RUE OMER-LECOMPTE</t>
  </si>
  <si>
    <t>COTEAU-DU-LAC</t>
  </si>
  <si>
    <t>J0P1B0</t>
  </si>
  <si>
    <t>isamonbellette@gmail.com</t>
  </si>
  <si>
    <t>Blati, Meryem</t>
  </si>
  <si>
    <t>RUE FRONTENAC</t>
  </si>
  <si>
    <t>H2K2Z9</t>
  </si>
  <si>
    <t>bl_mery@hotmail.com</t>
  </si>
  <si>
    <t>Shih, Yi-shao</t>
  </si>
  <si>
    <t>H3J2S8</t>
  </si>
  <si>
    <t>shao1019@gmail.com</t>
  </si>
  <si>
    <t>Gauvreau, Eugénie</t>
  </si>
  <si>
    <t>AVENUE PIERRE LAPORTE</t>
  </si>
  <si>
    <t>LOUISEVILLE</t>
  </si>
  <si>
    <t>J5V2X9</t>
  </si>
  <si>
    <t>gen656@hotmail.com</t>
  </si>
  <si>
    <t>Chiasson, Emma</t>
  </si>
  <si>
    <t>VAL-DES-CHÊNES</t>
  </si>
  <si>
    <t>SAINTE-SOPHIE</t>
  </si>
  <si>
    <t>J5J2M5</t>
  </si>
  <si>
    <t>emma.chiasson05@gmail.com</t>
  </si>
  <si>
    <t>Luc-Florestal, James-David</t>
  </si>
  <si>
    <t>RUE SAINT-DONAT</t>
  </si>
  <si>
    <t>H1L5J9</t>
  </si>
  <si>
    <t>jlucflorestal@gmail.com</t>
  </si>
  <si>
    <t>Ostiguy, Tristan</t>
  </si>
  <si>
    <t>RUE NANTEL</t>
  </si>
  <si>
    <t>J3Y2Y1</t>
  </si>
  <si>
    <t>tristan.ostiguy@icloud.com</t>
  </si>
  <si>
    <t>Faulkner, Caroline</t>
  </si>
  <si>
    <t>H2E2P7</t>
  </si>
  <si>
    <t>cfaulk81@gmail.com</t>
  </si>
  <si>
    <t>Salois, Nadia</t>
  </si>
  <si>
    <t>BEYRIES</t>
  </si>
  <si>
    <t>H8P2S7</t>
  </si>
  <si>
    <t>nadamis@gmail.com</t>
  </si>
  <si>
    <t>Letendre-Goyette, Louis-Charles</t>
  </si>
  <si>
    <t>RUE DE L'ÉGLISE</t>
  </si>
  <si>
    <t>louischarlesletendregoyette@gmail.com</t>
  </si>
  <si>
    <t>Rainville, Stéphanie</t>
  </si>
  <si>
    <t>PLACE DU SANCERRE</t>
  </si>
  <si>
    <t>J7T2C1</t>
  </si>
  <si>
    <t>rainvilstef@gmail.com</t>
  </si>
  <si>
    <t>Zemmour, Rayan</t>
  </si>
  <si>
    <t>GEORGE-V</t>
  </si>
  <si>
    <t>H1L3T7</t>
  </si>
  <si>
    <t>rayanzemm2@gmail.com</t>
  </si>
  <si>
    <t>Sylla, Ndèye Fatou</t>
  </si>
  <si>
    <t>AV AUDOIN</t>
  </si>
  <si>
    <t>H1H5E1</t>
  </si>
  <si>
    <t>ndeyefatousylla03@gmail.com</t>
  </si>
  <si>
    <t>Touati, Lyna</t>
  </si>
  <si>
    <t>RUE PIERRE-RIVIÈRE</t>
  </si>
  <si>
    <t>J6V1N6</t>
  </si>
  <si>
    <t>mouloudia69@hotmail.com</t>
  </si>
  <si>
    <t>Moscova, Komensky</t>
  </si>
  <si>
    <t>21E AVENUE</t>
  </si>
  <si>
    <t>H1X2G9</t>
  </si>
  <si>
    <t>moscovak05@icloud.com</t>
  </si>
  <si>
    <t>Rozon, Elizabeth</t>
  </si>
  <si>
    <t>RUE LAVIGNE</t>
  </si>
  <si>
    <t>J6A6B5</t>
  </si>
  <si>
    <t>elizabeth_rozon@hotmail.com</t>
  </si>
  <si>
    <t>Al-Kamali, Mohammed</t>
  </si>
  <si>
    <t>RUE VALÉRY</t>
  </si>
  <si>
    <t>J4W1V5</t>
  </si>
  <si>
    <t>m_alkm@hotmail.com</t>
  </si>
  <si>
    <t>Vallerand, Nathanaël</t>
  </si>
  <si>
    <t>PLACE DES COOPÉRATIVES</t>
  </si>
  <si>
    <t>H2M2G7</t>
  </si>
  <si>
    <t>nathanaelvallerand@gmail.com</t>
  </si>
  <si>
    <t>Dawagne, Claudy</t>
  </si>
  <si>
    <t>RUE PRÉVOST</t>
  </si>
  <si>
    <t>J4J1H2</t>
  </si>
  <si>
    <t>dawagneclaudy@gmail.com</t>
  </si>
  <si>
    <t>Traore, Mariam</t>
  </si>
  <si>
    <t>RUE ROBERT-ÉLIE</t>
  </si>
  <si>
    <t>H7N3Y9</t>
  </si>
  <si>
    <t>mariam.aicha@hotmail.com</t>
  </si>
  <si>
    <t>Hupé, Karolane</t>
  </si>
  <si>
    <t>RUE DU PONTMAIN</t>
  </si>
  <si>
    <t>H7N4K4</t>
  </si>
  <si>
    <t>k.hupe96@hotmail.com</t>
  </si>
  <si>
    <t>Sapojnikov, Denis</t>
  </si>
  <si>
    <t>AVENUE MCLYNN</t>
  </si>
  <si>
    <t>H3X2P9</t>
  </si>
  <si>
    <t>sapojnikovdenis@gmail.com</t>
  </si>
  <si>
    <t>Therrien, Marie-Elyse</t>
  </si>
  <si>
    <t>36E AVENUE</t>
  </si>
  <si>
    <t>H1A5C8</t>
  </si>
  <si>
    <t>metherrien@hotmail.com</t>
  </si>
  <si>
    <t>24E AV</t>
  </si>
  <si>
    <t>Lambert, Coralie</t>
  </si>
  <si>
    <t>CHEMIN SAINT-CHARLES</t>
  </si>
  <si>
    <t>J6W3R2</t>
  </si>
  <si>
    <t>coralielambert1997@gmail.com</t>
  </si>
  <si>
    <t>Benoît, Emilie</t>
  </si>
  <si>
    <t>RUE BÉDARD</t>
  </si>
  <si>
    <t>H7M2L8</t>
  </si>
  <si>
    <t>benoit.emilie.8@gmail.com</t>
  </si>
  <si>
    <t>Lamarche, Raphaël</t>
  </si>
  <si>
    <t>16E AV</t>
  </si>
  <si>
    <t>RICHELIEU</t>
  </si>
  <si>
    <t>J3L5H2</t>
  </si>
  <si>
    <t>raphlam789@gmail.com</t>
  </si>
  <si>
    <t>Ngo, Kelly</t>
  </si>
  <si>
    <t>AVENUE OGILVY</t>
  </si>
  <si>
    <t>H3N1M6</t>
  </si>
  <si>
    <t>xkellyngo@outlook.com</t>
  </si>
  <si>
    <t>Caron, Hugo</t>
  </si>
  <si>
    <t>H1X1P8</t>
  </si>
  <si>
    <t>jcaronhugo@gmail.com</t>
  </si>
  <si>
    <t>Lapierre, Camille</t>
  </si>
  <si>
    <t>RUE PÉLOQUIN</t>
  </si>
  <si>
    <t>H7H2W9</t>
  </si>
  <si>
    <t>camillelapierre97@gmail.com</t>
  </si>
  <si>
    <t>Barrette, Maude</t>
  </si>
  <si>
    <t>maude.barrette@hotmail.com</t>
  </si>
  <si>
    <t>Dupuis, Philippe</t>
  </si>
  <si>
    <t>H2C2P4</t>
  </si>
  <si>
    <t>dupuis.philippe@sympatico.ca</t>
  </si>
  <si>
    <t>Barrière, Joy</t>
  </si>
  <si>
    <t>AVENUE DU SACRÉ-COEUR</t>
  </si>
  <si>
    <t>H2C2S5</t>
  </si>
  <si>
    <t>jerobarriere@gmail.com</t>
  </si>
  <si>
    <t>Crépeau, Alexandre</t>
  </si>
  <si>
    <t>xalaria@hotmail.com</t>
  </si>
  <si>
    <t>Gaudette, Marc</t>
  </si>
  <si>
    <t>RUE DE GASPÉ</t>
  </si>
  <si>
    <t>SOREL-TRACY</t>
  </si>
  <si>
    <t>J3R1Z3</t>
  </si>
  <si>
    <t>gaudettemarc@hotmail.fr</t>
  </si>
  <si>
    <t>Lapierre, Bianka</t>
  </si>
  <si>
    <t>AVENUE WOODLAND</t>
  </si>
  <si>
    <t>H4E2J3</t>
  </si>
  <si>
    <t>bianka.lapierre@hotmail.com</t>
  </si>
  <si>
    <t>Méthot, Catherine</t>
  </si>
  <si>
    <t>PLACE HONORÉ BEAUGRAND</t>
  </si>
  <si>
    <t>H1K3Y7</t>
  </si>
  <si>
    <t>catherine.methot@icloud.com</t>
  </si>
  <si>
    <t>Legros, Ashley</t>
  </si>
  <si>
    <t>AVENUE PRIMAT-PARÉ</t>
  </si>
  <si>
    <t>H1C2B1</t>
  </si>
  <si>
    <t>legrosashley.al@gmail.com</t>
  </si>
  <si>
    <t>Petit-Frere, Holsin</t>
  </si>
  <si>
    <t>AVENUE LEBRUN</t>
  </si>
  <si>
    <t>H1L5E4</t>
  </si>
  <si>
    <t>petitfrereh00@gmail.com</t>
  </si>
  <si>
    <t>Yogalingam, Subarsan</t>
  </si>
  <si>
    <t>AVENUE BRUNET</t>
  </si>
  <si>
    <t>H1G5E6</t>
  </si>
  <si>
    <t>subarsan2000@hotmail.com</t>
  </si>
  <si>
    <t>SABREVOIS</t>
  </si>
  <si>
    <t>J0J2G0</t>
  </si>
  <si>
    <t>Bellefleur-Giroux, Charlie</t>
  </si>
  <si>
    <t>H2K3P6</t>
  </si>
  <si>
    <t>charlie.bellefleur@yahoo.com</t>
  </si>
  <si>
    <t>Bensabath, Talie</t>
  </si>
  <si>
    <t>AVENUE ELGIN</t>
  </si>
  <si>
    <t>CÔTE SAINT-LUC</t>
  </si>
  <si>
    <t>H4V2G7</t>
  </si>
  <si>
    <t>tal.bens13@gmail.com</t>
  </si>
  <si>
    <t>Leveille, Shelbzie Dafnerly</t>
  </si>
  <si>
    <t>RUE DE LA SAPINIÈRE</t>
  </si>
  <si>
    <t>J6X4P4</t>
  </si>
  <si>
    <t>dafleveille16@hotmail.com</t>
  </si>
  <si>
    <t>Charles-Emmanuel, Sha'yna</t>
  </si>
  <si>
    <t>RUE FLORIMOND-GAUTHIER</t>
  </si>
  <si>
    <t>J6W5H1</t>
  </si>
  <si>
    <t>shaynaemmanuel29@gmail.com</t>
  </si>
  <si>
    <t>Matoza Solorzano, Daniel David</t>
  </si>
  <si>
    <t>PLACE VICTOR BOURGEAU</t>
  </si>
  <si>
    <t>H1X2A2</t>
  </si>
  <si>
    <t>ddmatoza@gmail.com</t>
  </si>
  <si>
    <t>Daroowala, Dhrutiksha</t>
  </si>
  <si>
    <t>BOIS-DE-BOULOGNE</t>
  </si>
  <si>
    <t>ddaroowala@outlook.com</t>
  </si>
  <si>
    <t>Godin, Juliette</t>
  </si>
  <si>
    <t>RUE DE BREST</t>
  </si>
  <si>
    <t>J7K3Y4</t>
  </si>
  <si>
    <t>godinjuliettelali@gmail.com</t>
  </si>
  <si>
    <t>Malette, Daphnée</t>
  </si>
  <si>
    <t>RUE JESSIE</t>
  </si>
  <si>
    <t>J5J1W1</t>
  </si>
  <si>
    <t>dadou_malette@hotmail.com</t>
  </si>
  <si>
    <t>Saidi, Manel</t>
  </si>
  <si>
    <t>70E AVENUE</t>
  </si>
  <si>
    <t>H1C1L2</t>
  </si>
  <si>
    <t>manelsaidi2212@gmail.com</t>
  </si>
  <si>
    <t>Lagarde, Nathan</t>
  </si>
  <si>
    <t>RUE WAEGENER</t>
  </si>
  <si>
    <t>J2W2B6</t>
  </si>
  <si>
    <t>nathanlagarde20@gmail.com</t>
  </si>
  <si>
    <t>Marchante-Suarez, Melissa</t>
  </si>
  <si>
    <t>RUE SAINTE-CLAIRE</t>
  </si>
  <si>
    <t>H1L2B1</t>
  </si>
  <si>
    <t>melissams503@hotmail.com</t>
  </si>
  <si>
    <t>Lemieux, Catherine</t>
  </si>
  <si>
    <t>catherinelemieux1234@gmail.com</t>
  </si>
  <si>
    <t>H1K2R5</t>
  </si>
  <si>
    <t>Ramadan, Zahraa</t>
  </si>
  <si>
    <t>H1H4Y5</t>
  </si>
  <si>
    <t>zahraaramadan19@icloud.com</t>
  </si>
  <si>
    <t>Rieng-Pin, Alycia</t>
  </si>
  <si>
    <t>H1Z2T2</t>
  </si>
  <si>
    <t>RIENGPINLILY@GMAIL.COM</t>
  </si>
  <si>
    <t>Grenier, Mélodie</t>
  </si>
  <si>
    <t>RUE JOSEPH-CHARLES-COALLIER</t>
  </si>
  <si>
    <t>J2W2Y4</t>
  </si>
  <si>
    <t>grenierm26@gmail.com</t>
  </si>
  <si>
    <t>Gauthier, Amélia</t>
  </si>
  <si>
    <t>CHENONCEAU</t>
  </si>
  <si>
    <t>J7J2B2</t>
  </si>
  <si>
    <t>ameliagauthier03@icloud.com</t>
  </si>
  <si>
    <t>Meklat, Gaya</t>
  </si>
  <si>
    <t>TERRASSE JAQUES LÉONARD</t>
  </si>
  <si>
    <t>H1A3K3</t>
  </si>
  <si>
    <t>gayameklat@gmail.com</t>
  </si>
  <si>
    <t>El Hard, Mohamed</t>
  </si>
  <si>
    <t>44E RUE</t>
  </si>
  <si>
    <t>H1Z1R1</t>
  </si>
  <si>
    <t>mohamedh9153@gmail.com</t>
  </si>
  <si>
    <t>Oueslati, Sarah</t>
  </si>
  <si>
    <t>RUE TOUPIN</t>
  </si>
  <si>
    <t>J5W0A6</t>
  </si>
  <si>
    <t>oues7459@gmail.com</t>
  </si>
  <si>
    <t>Sarmiento Trillo, Javier Eduardo</t>
  </si>
  <si>
    <t>H1X3L3</t>
  </si>
  <si>
    <t>javieralias@icloud.com</t>
  </si>
  <si>
    <t>Gustave, Steeve Gracia</t>
  </si>
  <si>
    <t>BELLECHASSE</t>
  </si>
  <si>
    <t>H1T2B1</t>
  </si>
  <si>
    <t>gustavesteeve@gmail.com</t>
  </si>
  <si>
    <t>Bernard Doresty, Rocheny</t>
  </si>
  <si>
    <t>AV COPERNIC</t>
  </si>
  <si>
    <t>H7N2E1</t>
  </si>
  <si>
    <t>drocheny@gmail.com</t>
  </si>
  <si>
    <t>Richard, Mary-Ange</t>
  </si>
  <si>
    <t>RUE SAINT JEAN</t>
  </si>
  <si>
    <t>WOTTON</t>
  </si>
  <si>
    <t>J0A1N0</t>
  </si>
  <si>
    <t>mymyvoyage@gmail.com</t>
  </si>
  <si>
    <t>Mayette, John</t>
  </si>
  <si>
    <t>H1H4M7</t>
  </si>
  <si>
    <t>mayettejohn55@gmail.com</t>
  </si>
  <si>
    <t>El Ouraoui, Samy</t>
  </si>
  <si>
    <t>sam.elouraoui@hotmail.com</t>
  </si>
  <si>
    <t>Zaman, Zara</t>
  </si>
  <si>
    <t>H1P2V1</t>
  </si>
  <si>
    <t>zarazaman131313@gmail.com</t>
  </si>
  <si>
    <t>Vartin, Elisa</t>
  </si>
  <si>
    <t>RUE LOUISE-DECHÊNE</t>
  </si>
  <si>
    <t>H1C2K6</t>
  </si>
  <si>
    <t>elisa.vartin@gmail.com</t>
  </si>
  <si>
    <t>Berchiche, Amar</t>
  </si>
  <si>
    <t>H1K1B7</t>
  </si>
  <si>
    <t>berchiche.amar@hotmail.fr</t>
  </si>
  <si>
    <t>Taleb, Naima</t>
  </si>
  <si>
    <t>taleb.naima@hotmail.com</t>
  </si>
  <si>
    <t>Gauthier Da Silveira, Mia</t>
  </si>
  <si>
    <t>RUE DE MEXICO</t>
  </si>
  <si>
    <t>H7M3E1</t>
  </si>
  <si>
    <t>miadasilveira@gmail.com</t>
  </si>
  <si>
    <t>Lavoie, Daphnée</t>
  </si>
  <si>
    <t>H1L1Z6</t>
  </si>
  <si>
    <t>lavoiedaphnee30@gmail.com</t>
  </si>
  <si>
    <t>Couture, Benjamin</t>
  </si>
  <si>
    <t>RUE ÉLISÉE-MARTEL</t>
  </si>
  <si>
    <t>H1E6C2</t>
  </si>
  <si>
    <t>benjamincouture@outlook.com</t>
  </si>
  <si>
    <t>Tokhtakhunova, Shirin</t>
  </si>
  <si>
    <t>AV CHOUINARD</t>
  </si>
  <si>
    <t>H1M1H6</t>
  </si>
  <si>
    <t>shirint2017@gmail.com</t>
  </si>
  <si>
    <t>St-Pierre, Danaé</t>
  </si>
  <si>
    <t>CHEMIN DE L'AQUEDUC</t>
  </si>
  <si>
    <t>AMHERST</t>
  </si>
  <si>
    <t>J0T2L0</t>
  </si>
  <si>
    <t>danaestpierre2@gmail.com</t>
  </si>
  <si>
    <t>Allard, Marilie</t>
  </si>
  <si>
    <t>RUE DES CAROUGES</t>
  </si>
  <si>
    <t>J6V1M2</t>
  </si>
  <si>
    <t>marilieallard01@gmail.com</t>
  </si>
  <si>
    <t>SAINT-LAMBERT</t>
  </si>
  <si>
    <t>Cerasi Chartrand, Erika</t>
  </si>
  <si>
    <t>20ÈME AVENUE</t>
  </si>
  <si>
    <t>H1X2J3</t>
  </si>
  <si>
    <t>ecerasichartrand@gmail.com</t>
  </si>
  <si>
    <t>Chellouf, Safa</t>
  </si>
  <si>
    <t>H2H1T9</t>
  </si>
  <si>
    <t>safachellouf10@gmail.com</t>
  </si>
  <si>
    <t>Lafortune, Alexia</t>
  </si>
  <si>
    <t>RUE LEGENDRE</t>
  </si>
  <si>
    <t>J6A6A5</t>
  </si>
  <si>
    <t>lafortunealexia@gmail.com</t>
  </si>
  <si>
    <t>Simon, Laurie Lourdjissa</t>
  </si>
  <si>
    <t>RUE DE COLOGNE</t>
  </si>
  <si>
    <t>J6X4L1</t>
  </si>
  <si>
    <t>lourdjissa15@icloud.com</t>
  </si>
  <si>
    <t>Thompson, Laura</t>
  </si>
  <si>
    <t>H1W3L2</t>
  </si>
  <si>
    <t>thompson.laura@protonmail.com</t>
  </si>
  <si>
    <t>Paulémond, Sheldens</t>
  </si>
  <si>
    <t>H1G3P4</t>
  </si>
  <si>
    <t>sheldensp@gmail.com</t>
  </si>
  <si>
    <t>Lakssili, Maryam</t>
  </si>
  <si>
    <t>AVENUE LÉONARD-DE VINCI</t>
  </si>
  <si>
    <t>H2A2N7</t>
  </si>
  <si>
    <t>maryamlakssili14@hotmail.com</t>
  </si>
  <si>
    <t>St-Pierre, Guillaume</t>
  </si>
  <si>
    <t>H1X1R7</t>
  </si>
  <si>
    <t>josephdieu1@icloud.com</t>
  </si>
  <si>
    <t>Breton, Claude</t>
  </si>
  <si>
    <t>RUE TOLHURST</t>
  </si>
  <si>
    <t>H3L3A6</t>
  </si>
  <si>
    <t>claude_breton@hotmail.com</t>
  </si>
  <si>
    <t>Garconvil, Wilchmarlie</t>
  </si>
  <si>
    <t>RUE LOUIS-DUPIRE</t>
  </si>
  <si>
    <t>H1M3A6</t>
  </si>
  <si>
    <t>Bazilwilchmarlie@gmail.com</t>
  </si>
  <si>
    <t>Caissy, Marie Jeanne</t>
  </si>
  <si>
    <t>DAGOBERT</t>
  </si>
  <si>
    <t>J5R5Y9</t>
  </si>
  <si>
    <t>mcaissy.77@icloud.com</t>
  </si>
  <si>
    <t>Telusma, Saimhar Fathie</t>
  </si>
  <si>
    <t>RUE JACQUES- ROUSSEAU</t>
  </si>
  <si>
    <t>H1E4R4</t>
  </si>
  <si>
    <t>telusmasaimhar@icloud.com</t>
  </si>
  <si>
    <t>Harnois, Pierre-Alexandre</t>
  </si>
  <si>
    <t>BERTRAND</t>
  </si>
  <si>
    <t>J5Z4R8</t>
  </si>
  <si>
    <t>harnopi185@gmail.com</t>
  </si>
  <si>
    <t>ROBERT BLVD</t>
  </si>
  <si>
    <t>H1R0E1</t>
  </si>
  <si>
    <t>Habchi, Assia</t>
  </si>
  <si>
    <t>RUE MARTIAL</t>
  </si>
  <si>
    <t>H1H1W5</t>
  </si>
  <si>
    <t>assia.hab@hotmail.com</t>
  </si>
  <si>
    <t>Landry, Valérie</t>
  </si>
  <si>
    <t>RUE DE SABREVOIS</t>
  </si>
  <si>
    <t>TROIS-RIVIÈRES</t>
  </si>
  <si>
    <t>G9B2E9</t>
  </si>
  <si>
    <t>valerie.landry28@hotmail.com</t>
  </si>
  <si>
    <t>Augustin, Christian Damarcus</t>
  </si>
  <si>
    <t>H1R1A9</t>
  </si>
  <si>
    <t>caugustin114@gmail.com</t>
  </si>
  <si>
    <t>Contreras, Selena</t>
  </si>
  <si>
    <t>RUE HOUDE</t>
  </si>
  <si>
    <t>J5R3B7</t>
  </si>
  <si>
    <t>selenacontreras607@gmail.com</t>
  </si>
  <si>
    <t>Alisme, David</t>
  </si>
  <si>
    <t>DE LA SEIGNEURIE</t>
  </si>
  <si>
    <t>J5Z4H4</t>
  </si>
  <si>
    <t>restdav@outlook.fr</t>
  </si>
  <si>
    <t>Boulianne, Anikim</t>
  </si>
  <si>
    <t>anikimboulianne@gmail.com</t>
  </si>
  <si>
    <t>Aumont, Anastasia</t>
  </si>
  <si>
    <t>H1W3A2</t>
  </si>
  <si>
    <t>anastasia.aumont@gmail.com</t>
  </si>
  <si>
    <t>Boucher, Emily</t>
  </si>
  <si>
    <t>H1G5E7</t>
  </si>
  <si>
    <t>boucheremily01@gmail.com</t>
  </si>
  <si>
    <t>Cadet, Givenson</t>
  </si>
  <si>
    <t>13 AVENUE</t>
  </si>
  <si>
    <t>H2A2X6</t>
  </si>
  <si>
    <t>givensoncadet5@gmail.com</t>
  </si>
  <si>
    <t>Bourhalmi, Wassima</t>
  </si>
  <si>
    <t>wassimabourhalmi28@gmail.com</t>
  </si>
  <si>
    <t>Dahmoune, Inas</t>
  </si>
  <si>
    <t>RUE DE NEVERS</t>
  </si>
  <si>
    <t>H1R2M3</t>
  </si>
  <si>
    <t>Rosemontemail@gmail.com</t>
  </si>
  <si>
    <t>Girard, Gabrielle</t>
  </si>
  <si>
    <t>CHANOINE-GROULX</t>
  </si>
  <si>
    <t>J7V2V2</t>
  </si>
  <si>
    <t>girardgabrielle14@gmail.com</t>
  </si>
  <si>
    <t>Charest, Caroline</t>
  </si>
  <si>
    <t>MONTÉE TASSÉ</t>
  </si>
  <si>
    <t>MONT-TREMBLANT</t>
  </si>
  <si>
    <t>J8E2C6</t>
  </si>
  <si>
    <t>caroline.charest28@yahoo.com</t>
  </si>
  <si>
    <t>Previl, Marie Héricart</t>
  </si>
  <si>
    <t>hekaty39@icloud.com</t>
  </si>
  <si>
    <t>Orellana Flores, Anabel</t>
  </si>
  <si>
    <t>J6W5K2</t>
  </si>
  <si>
    <t>anabelflores050607@gmail.com</t>
  </si>
  <si>
    <t>Bouhal, Firdaws</t>
  </si>
  <si>
    <t>AV DE COURTRAI</t>
  </si>
  <si>
    <t>H3S1B8</t>
  </si>
  <si>
    <t>Firdawsalg@outlook.com</t>
  </si>
  <si>
    <t>Giacomodonato, Alyssa</t>
  </si>
  <si>
    <t>RUE JOSEPH VAILLANCOURT</t>
  </si>
  <si>
    <t>J6V1P6</t>
  </si>
  <si>
    <t>alyssa.giacomo@gmail.com</t>
  </si>
  <si>
    <t>Valles Barajas, Martha</t>
  </si>
  <si>
    <t>H1P1M9</t>
  </si>
  <si>
    <t>mvallesait@gmail.com</t>
  </si>
  <si>
    <t>Cayouette, Léa</t>
  </si>
  <si>
    <t>J3H5T5</t>
  </si>
  <si>
    <t>princesse-lea@hotmail.com</t>
  </si>
  <si>
    <t>Rochette, Camille</t>
  </si>
  <si>
    <t>AVENUE CHARLES-HUOT</t>
  </si>
  <si>
    <t>G1T2L9</t>
  </si>
  <si>
    <t>camillerochette@hotmail.fr</t>
  </si>
  <si>
    <t>Da Fonseca Orellana, Dalia</t>
  </si>
  <si>
    <t>RUE PAUL-PAU</t>
  </si>
  <si>
    <t>H1K2M7</t>
  </si>
  <si>
    <t>deofonseca@outlook.fr</t>
  </si>
  <si>
    <t>Hedhli, Rania</t>
  </si>
  <si>
    <t>RUE GABRIÈLE-FRASCADORE</t>
  </si>
  <si>
    <t>H1K0J1</t>
  </si>
  <si>
    <t>rania.hedhli2004@gmail.com</t>
  </si>
  <si>
    <t>Brideau, Marie-Pier</t>
  </si>
  <si>
    <t>CH DES OISEAUX</t>
  </si>
  <si>
    <t>SAINTE-AGATHE-DES-MONTS</t>
  </si>
  <si>
    <t>J8C0N4</t>
  </si>
  <si>
    <t>mariepbrideau@hotmail.com</t>
  </si>
  <si>
    <t>Voicu, Sebastien Nicolas</t>
  </si>
  <si>
    <t>AVENUE MARC-AURÈLE-FORTIN</t>
  </si>
  <si>
    <t>H7L6E6</t>
  </si>
  <si>
    <t>sebastien.voicu@gmail.com</t>
  </si>
  <si>
    <t>Tchakounte Futat, Francine Miranda</t>
  </si>
  <si>
    <t>futatmiranda@gmail.com</t>
  </si>
  <si>
    <t>Vennes, Gaël</t>
  </si>
  <si>
    <t>H2P2E2</t>
  </si>
  <si>
    <t>gaelvennes2003@gmail.com</t>
  </si>
  <si>
    <t>Lesperance, Nilsen</t>
  </si>
  <si>
    <t>RUE DU VILLAGE</t>
  </si>
  <si>
    <t>J5Z1T4</t>
  </si>
  <si>
    <t>Nilsenlesperance9@gmail.com</t>
  </si>
  <si>
    <t>Boudemagh, Mohamed Jasser</t>
  </si>
  <si>
    <t>RUE BELANGER</t>
  </si>
  <si>
    <t>H1T0B3</t>
  </si>
  <si>
    <t>boudemaghmohamedjasser@gmail.com</t>
  </si>
  <si>
    <t>Breton, Samuelle</t>
  </si>
  <si>
    <t>RUE FAVRE</t>
  </si>
  <si>
    <t>J7C0P4</t>
  </si>
  <si>
    <t>samuellebreton6258@gmail.com</t>
  </si>
  <si>
    <t>Melis, Benjamin</t>
  </si>
  <si>
    <t>RUE RANCOURT</t>
  </si>
  <si>
    <t>H2B2P4</t>
  </si>
  <si>
    <t>benmel11178@gmail.com</t>
  </si>
  <si>
    <t>Gauthier, Chrystelle</t>
  </si>
  <si>
    <t>H2G2B9</t>
  </si>
  <si>
    <t>chrystellegauthier@hotmail.com</t>
  </si>
  <si>
    <t>Thibeault, Zoé</t>
  </si>
  <si>
    <t>MICHEL</t>
  </si>
  <si>
    <t>J6V1A6</t>
  </si>
  <si>
    <t>zoetib@outlook.fr</t>
  </si>
  <si>
    <t>Gagnon, Olivier</t>
  </si>
  <si>
    <t>H2P2E4</t>
  </si>
  <si>
    <t>olivier.gagnon7@gmail.com</t>
  </si>
  <si>
    <t>Mazon Padron, Daniel Alejandro</t>
  </si>
  <si>
    <t>yordankapq@gmail.com</t>
  </si>
  <si>
    <t>Bayeur, Méanne</t>
  </si>
  <si>
    <t>AVENUE CHÂTEAUBRIANT</t>
  </si>
  <si>
    <t>J7K3E3</t>
  </si>
  <si>
    <t>meannebayeur@gmail.com</t>
  </si>
  <si>
    <t>Beldor, Michelle</t>
  </si>
  <si>
    <t>BOUL LAFAYETTE</t>
  </si>
  <si>
    <t>J4K3A1</t>
  </si>
  <si>
    <t>jb.tmiche@gmail.com</t>
  </si>
  <si>
    <t>Boulanger, Alex-Sea</t>
  </si>
  <si>
    <t>RUE FABRE</t>
  </si>
  <si>
    <t>H2G2Z6</t>
  </si>
  <si>
    <t>alexseaboulanger@gmail.com</t>
  </si>
  <si>
    <t>Te, Dianni</t>
  </si>
  <si>
    <t>RUE FLEURY-EST</t>
  </si>
  <si>
    <t>H1H2T5</t>
  </si>
  <si>
    <t>tedianni@gmail.com</t>
  </si>
  <si>
    <t>Démosthène, Marie Kernise</t>
  </si>
  <si>
    <t>RUE BALDWIN</t>
  </si>
  <si>
    <t>H1K3B7</t>
  </si>
  <si>
    <t>mariedemosthene955@gmail.com</t>
  </si>
  <si>
    <t>Bogatkina, Ksenia</t>
  </si>
  <si>
    <t>AVENUE ROOSEVELT</t>
  </si>
  <si>
    <t>H3R1Z3</t>
  </si>
  <si>
    <t>vicky_tenrox@hotmail.com</t>
  </si>
  <si>
    <t>Deirmendjian-Angell, Rafaël</t>
  </si>
  <si>
    <t>AVENUE DE VERNEUIL</t>
  </si>
  <si>
    <t>rafaeldeirm@gmail.com</t>
  </si>
  <si>
    <t>Mahdavi, Ana</t>
  </si>
  <si>
    <t>RUE DE LA LOUVIÈRE</t>
  </si>
  <si>
    <t>H7M5C1</t>
  </si>
  <si>
    <t>mahdavi.ana@yahoo.com</t>
  </si>
  <si>
    <t>Vo, Kevin</t>
  </si>
  <si>
    <t>RUE MESSIER</t>
  </si>
  <si>
    <t>H2K3R5</t>
  </si>
  <si>
    <t>kevinvo543@gmail.com</t>
  </si>
  <si>
    <t>Lavoie-Turcotte, Carol-Anne</t>
  </si>
  <si>
    <t>clavoieturcotte@gmail.com</t>
  </si>
  <si>
    <t>Bujold, Émilie</t>
  </si>
  <si>
    <t>CHEMIN DU CHENAL-DU-MOINE</t>
  </si>
  <si>
    <t>J3P5N3</t>
  </si>
  <si>
    <t>emilie.bujold@outlook.fr</t>
  </si>
  <si>
    <t>Lachhab, Ilyas</t>
  </si>
  <si>
    <t>RUE DE LA VILLANELLE</t>
  </si>
  <si>
    <t>SAINT-LÉONARD MONTRÉAL</t>
  </si>
  <si>
    <t>H1S1W2</t>
  </si>
  <si>
    <t>lebedevhh@proton.me</t>
  </si>
  <si>
    <t>Mwalaba, Biuma-Naomie</t>
  </si>
  <si>
    <t>ONTARIO E</t>
  </si>
  <si>
    <t>H1V0A8</t>
  </si>
  <si>
    <t>naomieb024@gmail.com</t>
  </si>
  <si>
    <t>Camus, Maëlle</t>
  </si>
  <si>
    <t>31E AVENUE</t>
  </si>
  <si>
    <t>H1T3E9</t>
  </si>
  <si>
    <t>maellecheer23@gmail.com</t>
  </si>
  <si>
    <t>Beaubrun, Jean-Michel</t>
  </si>
  <si>
    <t>H2A2L3</t>
  </si>
  <si>
    <t>jeanmilevrai@hotmail.com</t>
  </si>
  <si>
    <t>RUE DE TOURAINE</t>
  </si>
  <si>
    <t>Cadieux, Vincent</t>
  </si>
  <si>
    <t>H1B5T6</t>
  </si>
  <si>
    <t>vcadieux@pcwca.com</t>
  </si>
  <si>
    <t>Kwibe, Elie-Chance</t>
  </si>
  <si>
    <t>ARTHUR CHEVRIER</t>
  </si>
  <si>
    <t>MONTRÉAL-NORD</t>
  </si>
  <si>
    <t>H1G1R3</t>
  </si>
  <si>
    <t>owenschance150@gmail.com</t>
  </si>
  <si>
    <t>Deshaies, Marieclaude</t>
  </si>
  <si>
    <t>mdeshaies2302@gmail.com</t>
  </si>
  <si>
    <t>Nguyen, Lyly</t>
  </si>
  <si>
    <t>RUE DE LOUVAIN E</t>
  </si>
  <si>
    <t>H2M1B5</t>
  </si>
  <si>
    <t>lylynguyen2003@outlook.com</t>
  </si>
  <si>
    <t>Roy, Olivier</t>
  </si>
  <si>
    <t>H1T2P1</t>
  </si>
  <si>
    <t>oliviergr2020@hotmail.com</t>
  </si>
  <si>
    <t>Méthot, Constance</t>
  </si>
  <si>
    <t>ST-ANDRÉ</t>
  </si>
  <si>
    <t>H2S2K1</t>
  </si>
  <si>
    <t>constance.methot@gmail.com</t>
  </si>
  <si>
    <t>Diatta, Malang</t>
  </si>
  <si>
    <t>RUE FLEURY OUEST</t>
  </si>
  <si>
    <t>H3L1S8</t>
  </si>
  <si>
    <t>mkd85@hotmail.com</t>
  </si>
  <si>
    <t>Toussaint, Loïc</t>
  </si>
  <si>
    <t>PLACE HENRI-VALADE</t>
  </si>
  <si>
    <t>H1Y3G8</t>
  </si>
  <si>
    <t>loic.toussaint@outlook.com</t>
  </si>
  <si>
    <t>Herrera, Alba Isabell</t>
  </si>
  <si>
    <t>AVENUE DE LONDON</t>
  </si>
  <si>
    <t>H1H4J2</t>
  </si>
  <si>
    <t>albaisabelle23@gmail.com</t>
  </si>
  <si>
    <t>Hanif, Raj Beghum</t>
  </si>
  <si>
    <t>JAMES-MORRICE</t>
  </si>
  <si>
    <t>H3M2G4</t>
  </si>
  <si>
    <t>rajbhanif@outlook.com</t>
  </si>
  <si>
    <t>Sekri, Malak</t>
  </si>
  <si>
    <t>DE MADÈRE</t>
  </si>
  <si>
    <t>H1P3C2</t>
  </si>
  <si>
    <t>malaksekri01@gmail.com</t>
  </si>
  <si>
    <t>Ikhénazene, Rayane</t>
  </si>
  <si>
    <t>VERDIER</t>
  </si>
  <si>
    <t>H1S2W2</t>
  </si>
  <si>
    <t>rayaneikhenazene@gmail.com</t>
  </si>
  <si>
    <t>Gagnier, Alexandre</t>
  </si>
  <si>
    <t>TERRASSE BECK</t>
  </si>
  <si>
    <t>GREENFIELD PARK</t>
  </si>
  <si>
    <t>J4V3A3</t>
  </si>
  <si>
    <t>alexandre.robert.gagnier@gmail.com</t>
  </si>
  <si>
    <t>Maalem, Yassmine</t>
  </si>
  <si>
    <t>RUE MILLEVOYE</t>
  </si>
  <si>
    <t>H1S2M2</t>
  </si>
  <si>
    <t>yassmine_maalem@icloud.com</t>
  </si>
  <si>
    <t>Abir, M M Tausif Hasan</t>
  </si>
  <si>
    <t>AVENUE BLOOMFIELD</t>
  </si>
  <si>
    <t>H3N2H3</t>
  </si>
  <si>
    <t>tausifhasan3175@gmail.com</t>
  </si>
  <si>
    <t>Abdelali, Abrar</t>
  </si>
  <si>
    <t>H1V3C7</t>
  </si>
  <si>
    <t>abrrcm@gmail.com</t>
  </si>
  <si>
    <t>Falcon Viera, Jose Juan</t>
  </si>
  <si>
    <t>H1N1N9</t>
  </si>
  <si>
    <t>trapanonimouss@gmail.com</t>
  </si>
  <si>
    <t>Longchamps, Danielle</t>
  </si>
  <si>
    <t>H2P2H6</t>
  </si>
  <si>
    <t>dallong28@gmail.com</t>
  </si>
  <si>
    <t>Augeney, Ellys Domima</t>
  </si>
  <si>
    <t>SAINTE-GERTRUDE BLVD</t>
  </si>
  <si>
    <t>H1G5N7</t>
  </si>
  <si>
    <t>daugeney@gmail.com</t>
  </si>
  <si>
    <t>Lejour, Yannick</t>
  </si>
  <si>
    <t>BOULEVARD RENÉ-GAULTIER</t>
  </si>
  <si>
    <t>J3X1A9</t>
  </si>
  <si>
    <t>yannick.lej1992@gmail.com</t>
  </si>
  <si>
    <t>Benjamin, Bitchela Shelsie</t>
  </si>
  <si>
    <t>RUE ÉMILIE-MONDOR</t>
  </si>
  <si>
    <t>J6Y0K2</t>
  </si>
  <si>
    <t>shelsiebenj@gmail.com</t>
  </si>
  <si>
    <t>Guèye, N'Déye Toutane</t>
  </si>
  <si>
    <t>gueyetoutane7@gmail.com</t>
  </si>
  <si>
    <t>Milord, Edwine</t>
  </si>
  <si>
    <t>H1W2V5</t>
  </si>
  <si>
    <t>Emilordlaurore@gmail.com</t>
  </si>
  <si>
    <t>RUE LAVALLÉE</t>
  </si>
  <si>
    <t>SAINT-PHILIPPE</t>
  </si>
  <si>
    <t>J0L2K0</t>
  </si>
  <si>
    <t>Derosier, Sthécie Samaïssa</t>
  </si>
  <si>
    <t>47E AV</t>
  </si>
  <si>
    <t>H1A4W6</t>
  </si>
  <si>
    <t>samaderosier11@gmail.com</t>
  </si>
  <si>
    <t>Renaud, Jules</t>
  </si>
  <si>
    <t>BOUL ROSEMONT</t>
  </si>
  <si>
    <t>H2G1S9</t>
  </si>
  <si>
    <t>seluj1123@gmail.com</t>
  </si>
  <si>
    <t>Maguiézé -Y- Aïssa, Gercica</t>
  </si>
  <si>
    <t>gercicamaguieze@gmail.com</t>
  </si>
  <si>
    <t>Goyette, Catherine</t>
  </si>
  <si>
    <t>H1Y2N1</t>
  </si>
  <si>
    <t>catherinegoyette@hotmail.com</t>
  </si>
  <si>
    <t>Soza-Florent, Victoria-Geneviève</t>
  </si>
  <si>
    <t>J4G1H7</t>
  </si>
  <si>
    <t>genevievesoza@hotmail.com</t>
  </si>
  <si>
    <t>Lu, Kendo</t>
  </si>
  <si>
    <t>BOULEVARD CAVENDISH</t>
  </si>
  <si>
    <t>H4V2S1</t>
  </si>
  <si>
    <t>kendo.akm@gmail.com</t>
  </si>
  <si>
    <t>Bellil, Nadhir</t>
  </si>
  <si>
    <t>H1R3L9</t>
  </si>
  <si>
    <t>bellilnadhir4@gmail.com</t>
  </si>
  <si>
    <t>St-Amour, Isaac</t>
  </si>
  <si>
    <t>35E AV</t>
  </si>
  <si>
    <t>H7R3P8</t>
  </si>
  <si>
    <t>genevieve@projetix.ca</t>
  </si>
  <si>
    <t>Lahlah, Ahmed Amine</t>
  </si>
  <si>
    <t>BOULEVARD DES GALERIES D'ANJOU</t>
  </si>
  <si>
    <t>H1J1X1</t>
  </si>
  <si>
    <t>lahlahmamei@yahoo.com</t>
  </si>
  <si>
    <t>40E AVENUE</t>
  </si>
  <si>
    <t>Farhi, Ilias</t>
  </si>
  <si>
    <t>J4K4G4</t>
  </si>
  <si>
    <t>farhi_ilias@hotmail.fr</t>
  </si>
  <si>
    <t>Ngouemeta Ekwalla, Précieuse Rita</t>
  </si>
  <si>
    <t>RUE DU VAUCLUSE</t>
  </si>
  <si>
    <t>J5Y3Z4</t>
  </si>
  <si>
    <t>rit.ekwalla11@gmail.com</t>
  </si>
  <si>
    <t>Morin, Eli</t>
  </si>
  <si>
    <t>morin.eli@outlook.com</t>
  </si>
  <si>
    <t>Richard, Karolanne</t>
  </si>
  <si>
    <t>LÉONARD-DE-VINCI</t>
  </si>
  <si>
    <t>karolanne_richard@icloud.com</t>
  </si>
  <si>
    <t>Ferjani, Yosri</t>
  </si>
  <si>
    <t>BOULEVARD GRAHAM</t>
  </si>
  <si>
    <t>H3P2G2</t>
  </si>
  <si>
    <t>yosriferjani297@gmail.com</t>
  </si>
  <si>
    <t>Tannir, Adam</t>
  </si>
  <si>
    <t>RUE MUIR</t>
  </si>
  <si>
    <t>H4L4T2</t>
  </si>
  <si>
    <t>adamtannir2004@gmail.com</t>
  </si>
  <si>
    <t>Zapitoski, Jacob</t>
  </si>
  <si>
    <t>41E AV</t>
  </si>
  <si>
    <t>H7R4Y5</t>
  </si>
  <si>
    <t>jacobz@live.ca</t>
  </si>
  <si>
    <t>Kaval, Ibrahim</t>
  </si>
  <si>
    <t>H2E1P5</t>
  </si>
  <si>
    <t>ibrahimkaval10@gmail.com</t>
  </si>
  <si>
    <t>Abbassi Saber, Nizar</t>
  </si>
  <si>
    <t>RUE DE DIJON</t>
  </si>
  <si>
    <t>H1G2L9</t>
  </si>
  <si>
    <t>nizar.abbassi141@gmail.com</t>
  </si>
  <si>
    <t>Diotte, Marion</t>
  </si>
  <si>
    <t>RUE DALADIER</t>
  </si>
  <si>
    <t>H7X2L9</t>
  </si>
  <si>
    <t>marion.diotte@gmail.com</t>
  </si>
  <si>
    <t>Boisclair, Maxime</t>
  </si>
  <si>
    <t>H2S0E1</t>
  </si>
  <si>
    <t>maxic0208@hotmail.com</t>
  </si>
  <si>
    <t>Tardif, Marilou</t>
  </si>
  <si>
    <t>CHEMIN DE LA RIVIÈRE-CACHÉE</t>
  </si>
  <si>
    <t>J7E4H4</t>
  </si>
  <si>
    <t>mariloutardif5@hotmail.com</t>
  </si>
  <si>
    <t>AVENUE DES NÉNUPHARS</t>
  </si>
  <si>
    <t>Ruiz, Karla</t>
  </si>
  <si>
    <t>BOULEVARD DEGUIRE</t>
  </si>
  <si>
    <t>SAINT-LAURENT</t>
  </si>
  <si>
    <t>karla.andrea.rr@hotmail.com</t>
  </si>
  <si>
    <t>Mubenga, Jesi Jacques</t>
  </si>
  <si>
    <t>H7W4M7</t>
  </si>
  <si>
    <t>jesi.mubenga@outlook.com</t>
  </si>
  <si>
    <t>Kabir, Seefat</t>
  </si>
  <si>
    <t>AV QUERBES</t>
  </si>
  <si>
    <t>H3N2B2</t>
  </si>
  <si>
    <t>seefatkabir7@gmail.com</t>
  </si>
  <si>
    <t>Hijane, Imane</t>
  </si>
  <si>
    <t>RUE OLIVIER-CHAUVEAU</t>
  </si>
  <si>
    <t>H7K3J7</t>
  </si>
  <si>
    <t>Amona.b7@gmail.com</t>
  </si>
  <si>
    <t>Hurbon, Pierre-Luc</t>
  </si>
  <si>
    <t>CHEMIN LAVAL</t>
  </si>
  <si>
    <t>H4L2Y8</t>
  </si>
  <si>
    <t>pierreluchurbon@gmail.com</t>
  </si>
  <si>
    <t>Ekeu Mbouatchi, Teddy Cabrel</t>
  </si>
  <si>
    <t>DES AZALÉES</t>
  </si>
  <si>
    <t>H7Y2G8</t>
  </si>
  <si>
    <t>tedekeu@outlook.fr</t>
  </si>
  <si>
    <t>Cloutier, Arianne</t>
  </si>
  <si>
    <t>J7P0A2</t>
  </si>
  <si>
    <t>arianne.cloutier2002@gmail.com</t>
  </si>
  <si>
    <t>Mati, Lina Yasmine</t>
  </si>
  <si>
    <t>matiyasmine@outlook.com</t>
  </si>
  <si>
    <t>Fournier, Alexane</t>
  </si>
  <si>
    <t>RUE SURPRENANT</t>
  </si>
  <si>
    <t>J2Y1M4</t>
  </si>
  <si>
    <t>alexane90@outlook.com</t>
  </si>
  <si>
    <t>Hanfaoui, Zakaria</t>
  </si>
  <si>
    <t>RUE DE SÉVILLE</t>
  </si>
  <si>
    <t>H1G1H6</t>
  </si>
  <si>
    <t>gamerhanfaoui@gmail.com</t>
  </si>
  <si>
    <t>Corbeil, Gabrielle</t>
  </si>
  <si>
    <t>H1Y3C3</t>
  </si>
  <si>
    <t>corbgabrielle@gmail.com</t>
  </si>
  <si>
    <t>Berrichi, Syrine</t>
  </si>
  <si>
    <t>RUE VINET</t>
  </si>
  <si>
    <t>J5Y1G2</t>
  </si>
  <si>
    <t>syrineberrichi@hotmail.com</t>
  </si>
  <si>
    <t>Ben-Khayat, Yassine</t>
  </si>
  <si>
    <t>AVENUE THÉRÈSE CASGRAIN</t>
  </si>
  <si>
    <t>H1J2E2</t>
  </si>
  <si>
    <t>yyassineben1@gmail.com</t>
  </si>
  <si>
    <t>Malanchuk, Maksym</t>
  </si>
  <si>
    <t>GRAND-BOULEVARD</t>
  </si>
  <si>
    <t>H4B2X7</t>
  </si>
  <si>
    <t>maxmk2123@gmail.com</t>
  </si>
  <si>
    <t>Valentin, Evens</t>
  </si>
  <si>
    <t>evensvalentin23@gmail.com</t>
  </si>
  <si>
    <t>Mankita, Roman Gi'Nevi Gipsia</t>
  </si>
  <si>
    <t>H1B1C9</t>
  </si>
  <si>
    <t>massangagina@gmail.com</t>
  </si>
  <si>
    <t>Montassier, Nolan</t>
  </si>
  <si>
    <t>AVENUE WOODBURY</t>
  </si>
  <si>
    <t>H3T1S7</t>
  </si>
  <si>
    <t>nolan.montassier92@gmail.com</t>
  </si>
  <si>
    <t>Dao, Gnim Gregoire</t>
  </si>
  <si>
    <t>DE LA SAULAIE TERREBONNE</t>
  </si>
  <si>
    <t>J6W3J1</t>
  </si>
  <si>
    <t>gnimdaoqc@gmail.com</t>
  </si>
  <si>
    <t>RUE VALADE</t>
  </si>
  <si>
    <t>H1N2Y1</t>
  </si>
  <si>
    <t>Alil, Mohammed-Amin</t>
  </si>
  <si>
    <t>RUE MILL HILL</t>
  </si>
  <si>
    <t>H7W1P8</t>
  </si>
  <si>
    <t>aminealil2005@gmail.com</t>
  </si>
  <si>
    <t>Nabat, Hamza</t>
  </si>
  <si>
    <t>RUE JULES-FOURNIER</t>
  </si>
  <si>
    <t>H1G2W7</t>
  </si>
  <si>
    <t>nabathamza76@gmail.com</t>
  </si>
  <si>
    <t>Gashugi Hirwa, Hervé Bertrand</t>
  </si>
  <si>
    <t>RUE ANTHONY</t>
  </si>
  <si>
    <t>H8Y2B7</t>
  </si>
  <si>
    <t>hervehirwa2@gmail.com</t>
  </si>
  <si>
    <t>Hua, Kenny</t>
  </si>
  <si>
    <t>RUE HOLT</t>
  </si>
  <si>
    <t>H1Y1N3</t>
  </si>
  <si>
    <t>ken2yhua@hotmail.com</t>
  </si>
  <si>
    <t>Nzogang Kamte, Myguel Wilfried</t>
  </si>
  <si>
    <t>H2E2E3</t>
  </si>
  <si>
    <t>kamtewilfried@gmail.com</t>
  </si>
  <si>
    <t>Fatal, Kylliane L.</t>
  </si>
  <si>
    <t>DES COLOMBES</t>
  </si>
  <si>
    <t>H7A4E3</t>
  </si>
  <si>
    <t>kylliane@hotmail.ca</t>
  </si>
  <si>
    <t>Ndinga Itoua, Belgérence Angelina</t>
  </si>
  <si>
    <t>LAPIERRE</t>
  </si>
  <si>
    <t>H1G3S3</t>
  </si>
  <si>
    <t>fmndinga@hotmail.com</t>
  </si>
  <si>
    <t>Zakeripour, Alireza</t>
  </si>
  <si>
    <t>BOULEVARD IBERVILLE</t>
  </si>
  <si>
    <t>J5Y1P6</t>
  </si>
  <si>
    <t>zakeriali1zp@gmail.com</t>
  </si>
  <si>
    <t>Guerrero, Angely Nicole</t>
  </si>
  <si>
    <t>AVENUE ALBANI</t>
  </si>
  <si>
    <t>H1M2J5</t>
  </si>
  <si>
    <t>angelynicole536@gmail.com</t>
  </si>
  <si>
    <t>Smith, Gabriel</t>
  </si>
  <si>
    <t>JOSEPH-À-RODIER</t>
  </si>
  <si>
    <t>H1K5C9</t>
  </si>
  <si>
    <t>jibrilsmith786@gmail.com</t>
  </si>
  <si>
    <t>Tran, Patrick</t>
  </si>
  <si>
    <t>RUE ENRICO-FERMI</t>
  </si>
  <si>
    <t>H1R3W4</t>
  </si>
  <si>
    <t>patricktran801@yahoo.com</t>
  </si>
  <si>
    <t>Keita, Frédy Cheick-Oumar</t>
  </si>
  <si>
    <t>AVENUE 21E</t>
  </si>
  <si>
    <t>Fredycheickoumarkeita@gmail.com</t>
  </si>
  <si>
    <t>Audet, Érika</t>
  </si>
  <si>
    <t>RUE GÉLINEAU</t>
  </si>
  <si>
    <t>J3Y4L3</t>
  </si>
  <si>
    <t>Erikaaudet2005@outlook.com</t>
  </si>
  <si>
    <t>Lucien, Rudernsta Annie</t>
  </si>
  <si>
    <t>RUE BOURDAGES</t>
  </si>
  <si>
    <t>H1R1W8</t>
  </si>
  <si>
    <t>Einnalu011@gmail.com</t>
  </si>
  <si>
    <t>Haddad-Lolot, Shana</t>
  </si>
  <si>
    <t>1RE AVENUE</t>
  </si>
  <si>
    <t>H1Y2Z8</t>
  </si>
  <si>
    <t>shanahaddad91@gmail.com</t>
  </si>
  <si>
    <t>Maxume, Teddy Owen</t>
  </si>
  <si>
    <t>H1H1W8</t>
  </si>
  <si>
    <t>mteddyowen@gmail.com</t>
  </si>
  <si>
    <t>Augustin, Webster</t>
  </si>
  <si>
    <t>14E AVENUE</t>
  </si>
  <si>
    <t>H1Z3M3</t>
  </si>
  <si>
    <t>websteraugustin1@gmail.com</t>
  </si>
  <si>
    <t>Azad, Farahnaz</t>
  </si>
  <si>
    <t>RUE ABÉLARD</t>
  </si>
  <si>
    <t>H3E1B7</t>
  </si>
  <si>
    <t>farnazaz56@gmail.com</t>
  </si>
  <si>
    <t>Ghanem, Nouha Jannet</t>
  </si>
  <si>
    <t>ALLARD</t>
  </si>
  <si>
    <t>H8N0E2</t>
  </si>
  <si>
    <t>nouhajannetghanem@gmail.com</t>
  </si>
  <si>
    <t>St-Jacques, Catherine</t>
  </si>
  <si>
    <t>RUE BRUNET</t>
  </si>
  <si>
    <t>J7N2M9</t>
  </si>
  <si>
    <t>catherine.stjacques5@gmail.com</t>
  </si>
  <si>
    <t>Tsafack, Joël Bertrand</t>
  </si>
  <si>
    <t>H1Z2Z2</t>
  </si>
  <si>
    <t>joeltsafack1@gmail.com</t>
  </si>
  <si>
    <t>Hadiri, Oussama</t>
  </si>
  <si>
    <t>17E AV</t>
  </si>
  <si>
    <t>H1X2R4</t>
  </si>
  <si>
    <t>Hadiriouss@gmail.com</t>
  </si>
  <si>
    <t>Robichaud, Marie-Soleil</t>
  </si>
  <si>
    <t>RUE SANTA-CRUZ</t>
  </si>
  <si>
    <t>mariesoleilrobichaud@gmail.com</t>
  </si>
  <si>
    <t>Bintona, Relch Exavie</t>
  </si>
  <si>
    <t>RUE ADAM</t>
  </si>
  <si>
    <t>H1W1X3</t>
  </si>
  <si>
    <t>relchexavie@hotmail.com</t>
  </si>
  <si>
    <t>Cisse, Neïssa Seydou</t>
  </si>
  <si>
    <t>RUE ST-ANDRÉ</t>
  </si>
  <si>
    <t>H2L3T3</t>
  </si>
  <si>
    <t>cisseneissaseydou@gmail.com</t>
  </si>
  <si>
    <t>Singiza, Jerry Dixon</t>
  </si>
  <si>
    <t>GALERIES D'ANJOU</t>
  </si>
  <si>
    <t>H1M1V9</t>
  </si>
  <si>
    <t>singizadixon6@gmail.com</t>
  </si>
  <si>
    <t>RUE SAINT-LOUIS</t>
  </si>
  <si>
    <t>Missome, Odette Nadine Indira</t>
  </si>
  <si>
    <t>TERRASSE FLEURY</t>
  </si>
  <si>
    <t>H3L3L4</t>
  </si>
  <si>
    <t>missomeindira@gmail.com</t>
  </si>
  <si>
    <t>Marroquin Macal, Isabel</t>
  </si>
  <si>
    <t>isabelmarroquin17@gmail.com</t>
  </si>
  <si>
    <t>Beaute, Anne Darophka</t>
  </si>
  <si>
    <t>H1Z3H5</t>
  </si>
  <si>
    <t>annebeaute5@gmail.com</t>
  </si>
  <si>
    <t>Belmehel, Fawzi</t>
  </si>
  <si>
    <t>H1H1T3</t>
  </si>
  <si>
    <t>belmehelfawzi@gmail.com</t>
  </si>
  <si>
    <t>RUE RADISSON</t>
  </si>
  <si>
    <t>Rosado Diaz, Camila</t>
  </si>
  <si>
    <t>RUE DE SILLERY</t>
  </si>
  <si>
    <t>H7M4R2</t>
  </si>
  <si>
    <t>camii.diaz11@hotmail.com</t>
  </si>
  <si>
    <t>Derrar, Madina</t>
  </si>
  <si>
    <t>H2E1M7</t>
  </si>
  <si>
    <t>derrarmedina@yahoo.com</t>
  </si>
  <si>
    <t>Xia, Xianju</t>
  </si>
  <si>
    <t>RUE CHEVALIER</t>
  </si>
  <si>
    <t>J4Z0E2</t>
  </si>
  <si>
    <t>xianjuxia@gmail.com</t>
  </si>
  <si>
    <t>AV HENRI-DE SALIÈRES</t>
  </si>
  <si>
    <t>Adda, Redha</t>
  </si>
  <si>
    <t>PROMENADE DES RIVERAINS</t>
  </si>
  <si>
    <t>H1J2T9</t>
  </si>
  <si>
    <t>redha.adda5@gmail.com</t>
  </si>
  <si>
    <t>Yakam Cheungoue, Ralph Ryan</t>
  </si>
  <si>
    <t>AVENUE BARCLAY</t>
  </si>
  <si>
    <t>yakam.ryan@icloud.com</t>
  </si>
  <si>
    <t>Samou Djomo, Arnaud</t>
  </si>
  <si>
    <t>H1Z4B2</t>
  </si>
  <si>
    <t>arnaudjomo@icloud.com</t>
  </si>
  <si>
    <t>Duguay-Vallières, Meghane</t>
  </si>
  <si>
    <t>7480 RUE ROUSSELOT</t>
  </si>
  <si>
    <t>H2E1Z3</t>
  </si>
  <si>
    <t>duguayvallieres@gmail.com</t>
  </si>
  <si>
    <t>Bouklab, Aymen</t>
  </si>
  <si>
    <t>aymenb4h@gmail.com</t>
  </si>
  <si>
    <t>Alrishan, Danny</t>
  </si>
  <si>
    <t>RUE MAURICE-LEBEL</t>
  </si>
  <si>
    <t>H4N3E8</t>
  </si>
  <si>
    <t>danirechan451@gmail.com</t>
  </si>
  <si>
    <t>Meyer, Yonathan</t>
  </si>
  <si>
    <t>CH DE BEDFORD</t>
  </si>
  <si>
    <t>H3S1G1</t>
  </si>
  <si>
    <t>yonathan.a.meyer@gmail.com</t>
  </si>
  <si>
    <t>Clerphon, Anaël Isabelle</t>
  </si>
  <si>
    <t>AV SAINT-JULIEN</t>
  </si>
  <si>
    <t>H1H3Y4</t>
  </si>
  <si>
    <t>anaelclerphon@gmail.com</t>
  </si>
  <si>
    <t>Louis, Jean Anis</t>
  </si>
  <si>
    <t>RUE MAINVILLE</t>
  </si>
  <si>
    <t>J7E4V6</t>
  </si>
  <si>
    <t>louisjeananis78@gmail.com</t>
  </si>
  <si>
    <t>Tétreau, Félix-Antoine</t>
  </si>
  <si>
    <t>H2J3G7</t>
  </si>
  <si>
    <t>felixantoine.tetreau@gmail.com</t>
  </si>
  <si>
    <t>Audet, Nathalie</t>
  </si>
  <si>
    <t>RUE WILLISTON</t>
  </si>
  <si>
    <t>J9P4S7</t>
  </si>
  <si>
    <t>nathalie.audet1973@gmail.com</t>
  </si>
  <si>
    <t>Benkarrouch, Ali</t>
  </si>
  <si>
    <t>AVENUE PRINCE-OF-WALES</t>
  </si>
  <si>
    <t>H4B0A2</t>
  </si>
  <si>
    <t>alibenkarrouch@gmail.com</t>
  </si>
  <si>
    <t>Philogene, Wesner</t>
  </si>
  <si>
    <t>H1G5X6</t>
  </si>
  <si>
    <t>2240177@crosemont.qc.ca</t>
  </si>
  <si>
    <t>Jean, Abigaïl</t>
  </si>
  <si>
    <t>H1X1W2</t>
  </si>
  <si>
    <t>abigailjean38@gmail.com</t>
  </si>
  <si>
    <t>Ighiouer, Yassine</t>
  </si>
  <si>
    <t>AV GASCON</t>
  </si>
  <si>
    <t>H3G0A6</t>
  </si>
  <si>
    <t>igyassine2911@gmail.com</t>
  </si>
  <si>
    <t>Labbé, Rachel</t>
  </si>
  <si>
    <t>H1X2V1</t>
  </si>
  <si>
    <t>rachellynnlabbe@hotmail.ca</t>
  </si>
  <si>
    <t>Ma, Yi</t>
  </si>
  <si>
    <t>AVENUE DRESDEN</t>
  </si>
  <si>
    <t>H3P3K1</t>
  </si>
  <si>
    <t>melodiemy@foxmail.com</t>
  </si>
  <si>
    <t>Celestin, Desly</t>
  </si>
  <si>
    <t>43E RUE</t>
  </si>
  <si>
    <t>H1Z1R2</t>
  </si>
  <si>
    <t>celdesly@yahoo.fr</t>
  </si>
  <si>
    <t>Kabbaj, Hamza</t>
  </si>
  <si>
    <t>RUE DE CHAMPLAIN</t>
  </si>
  <si>
    <t>H2L2R7</t>
  </si>
  <si>
    <t>Hamzakab30@gmail.com</t>
  </si>
  <si>
    <t>Ziani, Houssam</t>
  </si>
  <si>
    <t>AV RAOUL</t>
  </si>
  <si>
    <t>J3Y7P2</t>
  </si>
  <si>
    <t>zianihoussam11@gmail.com</t>
  </si>
  <si>
    <t>Belhadj Khalifa, Aymen</t>
  </si>
  <si>
    <t>H1T2R9</t>
  </si>
  <si>
    <t>Aymen.bel.hadj.khalifa@gmail.com</t>
  </si>
  <si>
    <t>Soberanis de Lopez, Ericka Rocio</t>
  </si>
  <si>
    <t>RUE CHAILLOT</t>
  </si>
  <si>
    <t>H1T3R5</t>
  </si>
  <si>
    <t>chio_rouss@hotmail.com</t>
  </si>
  <si>
    <t>Bouchami, Ryan</t>
  </si>
  <si>
    <t>France</t>
  </si>
  <si>
    <t>ryannbouc@gmail.com</t>
  </si>
  <si>
    <t>Boubertakh, Sofiane</t>
  </si>
  <si>
    <t>H1T1T1</t>
  </si>
  <si>
    <t>sofianeboubertakh1@gmail.com</t>
  </si>
  <si>
    <t>Hermassi, Ons</t>
  </si>
  <si>
    <t>13E AV</t>
  </si>
  <si>
    <t>H1Z3L1</t>
  </si>
  <si>
    <t>ons.hermassi99@gmail.com</t>
  </si>
  <si>
    <t>Guzman, Paola Andrea</t>
  </si>
  <si>
    <t>PIERROT EST</t>
  </si>
  <si>
    <t>J5W5P5</t>
  </si>
  <si>
    <t>paola.a.g88@gmail.com</t>
  </si>
  <si>
    <t>Lozano Morillo, Gregory</t>
  </si>
  <si>
    <t>RUE ALEXANDRE-DESÈVE</t>
  </si>
  <si>
    <t>H2L2T7</t>
  </si>
  <si>
    <t>gregory_morillo@hotmail.com</t>
  </si>
  <si>
    <t>Cusson, Juliette</t>
  </si>
  <si>
    <t>J4J4P4</t>
  </si>
  <si>
    <t>juliettecusson8@hotmail.com</t>
  </si>
  <si>
    <t>Abdulali, Sabrina</t>
  </si>
  <si>
    <t>RUE SYDNEY</t>
  </si>
  <si>
    <t>H7R0C4</t>
  </si>
  <si>
    <t>sabrinabdulali@gmail.com</t>
  </si>
  <si>
    <t>Dipama, Belicia Grace</t>
  </si>
  <si>
    <t>RUE CREVIER</t>
  </si>
  <si>
    <t>H4L2X4</t>
  </si>
  <si>
    <t>beliciadipama@yahoo.ca</t>
  </si>
  <si>
    <t>Emelobe, Samuel</t>
  </si>
  <si>
    <t>H1Z2S7</t>
  </si>
  <si>
    <t>emelobesamuel@gmail.com</t>
  </si>
  <si>
    <t>Forget, Maxime</t>
  </si>
  <si>
    <t>RUE FRENCH</t>
  </si>
  <si>
    <t>H1L4S4</t>
  </si>
  <si>
    <t>maxforget87@gmail.com</t>
  </si>
  <si>
    <t>Dubois, Elly</t>
  </si>
  <si>
    <t>RANG SAINT JEAN NORTHEAST</t>
  </si>
  <si>
    <t>LAVALTRIE</t>
  </si>
  <si>
    <t>J5T3G5</t>
  </si>
  <si>
    <t>ellydub21@gmail.com</t>
  </si>
  <si>
    <t>Diallo, Mariama Sire</t>
  </si>
  <si>
    <t>RUE ELIZABETH</t>
  </si>
  <si>
    <t>H4L4L8</t>
  </si>
  <si>
    <t>sow634@GMAIL.COM</t>
  </si>
  <si>
    <t>Brenes, Gabriel Enrique</t>
  </si>
  <si>
    <t>H2E3B1</t>
  </si>
  <si>
    <t>14bregab@gmail.com</t>
  </si>
  <si>
    <t>Simard, Yuhan</t>
  </si>
  <si>
    <t>RUE DE ROMAGNE</t>
  </si>
  <si>
    <t>H7M5P2</t>
  </si>
  <si>
    <t>yuhant@hotmail.ca</t>
  </si>
  <si>
    <t>Cyr Gagnon, Cédrik</t>
  </si>
  <si>
    <t>RUE CENTRE</t>
  </si>
  <si>
    <t>H3K1K1</t>
  </si>
  <si>
    <t>Leadership04@outlook.com</t>
  </si>
  <si>
    <t>Joseph, Anne-Solina</t>
  </si>
  <si>
    <t>5E AVENUE</t>
  </si>
  <si>
    <t>H1E1R2</t>
  </si>
  <si>
    <t>annesolinajoseph@gmail.com</t>
  </si>
  <si>
    <t>Joseph, Elidor</t>
  </si>
  <si>
    <t>RUE DU HAVRE</t>
  </si>
  <si>
    <t>J7K3T2</t>
  </si>
  <si>
    <t>josepheanjou@icloud.com</t>
  </si>
  <si>
    <t>So, Martin King Sum</t>
  </si>
  <si>
    <t>RUE OSTIGUY</t>
  </si>
  <si>
    <t>H4R1N4</t>
  </si>
  <si>
    <t>martinso10232@gmail.com</t>
  </si>
  <si>
    <t>Sango Gueye, Myriam Jackson</t>
  </si>
  <si>
    <t>DES ORMEAUX BLVD</t>
  </si>
  <si>
    <t>J4L1J5</t>
  </si>
  <si>
    <t>myriamjackson@yahoo.fr</t>
  </si>
  <si>
    <t>Doyon, Samuel</t>
  </si>
  <si>
    <t>samueldoyon99@gmail.com</t>
  </si>
  <si>
    <t>Sarti, Taha</t>
  </si>
  <si>
    <t>H1G5C1</t>
  </si>
  <si>
    <t>sartitaha92@gmail.com</t>
  </si>
  <si>
    <t>Zelaya Pinto, Diego Alejandro</t>
  </si>
  <si>
    <t>AVENUE 7E</t>
  </si>
  <si>
    <t>H1Z2V1</t>
  </si>
  <si>
    <t>dzelayapinto@gmail.com</t>
  </si>
  <si>
    <t>Raymond, Samuel</t>
  </si>
  <si>
    <t>RUE CROTEAU</t>
  </si>
  <si>
    <t>J5Z5B1</t>
  </si>
  <si>
    <t>samu.ray8@hotmail.com</t>
  </si>
  <si>
    <t>Mutshipayi, Michael</t>
  </si>
  <si>
    <t>RUE DU COCHER</t>
  </si>
  <si>
    <t>L'ÉPIPHANIE</t>
  </si>
  <si>
    <t>J5X4C4</t>
  </si>
  <si>
    <t>mr.musthipaiy@gmail.com</t>
  </si>
  <si>
    <t>BOUCHERVILLE</t>
  </si>
  <si>
    <t>Thibault, Mathis</t>
  </si>
  <si>
    <t>RUE BÉJART</t>
  </si>
  <si>
    <t>J5Z4L5</t>
  </si>
  <si>
    <t>mathisthibaultcll2@gmail.com</t>
  </si>
  <si>
    <t>Marc Arthur, Becky</t>
  </si>
  <si>
    <t>RUE DE TOSCANE</t>
  </si>
  <si>
    <t>J6X3V1</t>
  </si>
  <si>
    <t>marcarthurbecky@gmail.com</t>
  </si>
  <si>
    <t>Tadie Takodjou, Ralph Teddy</t>
  </si>
  <si>
    <t>RUE MOUSSEAU</t>
  </si>
  <si>
    <t>H1L4T8</t>
  </si>
  <si>
    <t>tadieteddy04@gmail.com</t>
  </si>
  <si>
    <t>Berami, Ilyasse</t>
  </si>
  <si>
    <t>beramiilyass@gmail.com</t>
  </si>
  <si>
    <t>Korchi, Amira-Meryam</t>
  </si>
  <si>
    <t>CHEMIN DE LA CÔTE-DE-LIESSE</t>
  </si>
  <si>
    <t>H4N2P2</t>
  </si>
  <si>
    <t>kamirameryam@gmail.com</t>
  </si>
  <si>
    <t>Baillargeon, Charles-Alexis</t>
  </si>
  <si>
    <t>AVENUE MELBOURNE</t>
  </si>
  <si>
    <t>H3P1G3</t>
  </si>
  <si>
    <t>c-a.baillargeon@bell.net</t>
  </si>
  <si>
    <t>AVENUE DE PARIS</t>
  </si>
  <si>
    <t>Syvilna, Jn Michel</t>
  </si>
  <si>
    <t>RUE LARIN</t>
  </si>
  <si>
    <t>H1H2W1</t>
  </si>
  <si>
    <t>jnmichelsyvilna10@gmail.com</t>
  </si>
  <si>
    <t>Continelli, Benjamin</t>
  </si>
  <si>
    <t>RUE FRANCIS</t>
  </si>
  <si>
    <t>H2C3A1</t>
  </si>
  <si>
    <t>benjamin.continelli@gmail.com</t>
  </si>
  <si>
    <t>Bolang Joussi, Belviane</t>
  </si>
  <si>
    <t>AVENUE GARON</t>
  </si>
  <si>
    <t>H1H3T7</t>
  </si>
  <si>
    <t>belvianejoussi@gmail.com</t>
  </si>
  <si>
    <t>Kinkufi, Sarah</t>
  </si>
  <si>
    <t>sarahkinkufi56@gmail.com</t>
  </si>
  <si>
    <t>Pham, Kimberly</t>
  </si>
  <si>
    <t>H1K2X2</t>
  </si>
  <si>
    <t>kimberlydion@hotmail.com</t>
  </si>
  <si>
    <t>Georgeault, Valmont Tristan</t>
  </si>
  <si>
    <t>AV DES ÉRABLES</t>
  </si>
  <si>
    <t>H2G2M1</t>
  </si>
  <si>
    <t>valmont.georgeault@gmail.com</t>
  </si>
  <si>
    <t>Hamroune, Yanis</t>
  </si>
  <si>
    <t>yanishamroune2004@hotmail.com</t>
  </si>
  <si>
    <t>Roc, Ritnère</t>
  </si>
  <si>
    <t>AV LEBRUN</t>
  </si>
  <si>
    <t>H1L5E3</t>
  </si>
  <si>
    <t>rikroc88@gmail.com</t>
  </si>
  <si>
    <t>Bouchard, Ève-Marie</t>
  </si>
  <si>
    <t>CHEMIN SAINT JOSEPH</t>
  </si>
  <si>
    <t>G7B0G3</t>
  </si>
  <si>
    <t>evemarie2012live@gmail.com</t>
  </si>
  <si>
    <t>Bennabi, Hala Maissa</t>
  </si>
  <si>
    <t>RUE JEAN-MILOT</t>
  </si>
  <si>
    <t>H1M2Y8</t>
  </si>
  <si>
    <t>maissa.bennabi@hotmail.com</t>
  </si>
  <si>
    <t>Aziz, Rayane</t>
  </si>
  <si>
    <t>AVENUE MUSSET</t>
  </si>
  <si>
    <t>H2A2W5</t>
  </si>
  <si>
    <t>rayaneazizqwerty@gmail.com</t>
  </si>
  <si>
    <t>Tchounte Eyene, Lea Maeva</t>
  </si>
  <si>
    <t>J5Y3B2</t>
  </si>
  <si>
    <t>tchountemae@gmail.com</t>
  </si>
  <si>
    <t>Poteau, Jennifer</t>
  </si>
  <si>
    <t>H1E6L9</t>
  </si>
  <si>
    <t>poteau.jennifer01@gmail.com</t>
  </si>
  <si>
    <t>Acheroufkebir, Lillia</t>
  </si>
  <si>
    <t>H2E2B4</t>
  </si>
  <si>
    <t>acheroufkebirlillia@gmail.com</t>
  </si>
  <si>
    <t>Molina Ruelas, Josue</t>
  </si>
  <si>
    <t>BOULEVARD DE MAISONNEUVE EST</t>
  </si>
  <si>
    <t>H2X1J7</t>
  </si>
  <si>
    <t>joshmolrue@gmail.com</t>
  </si>
  <si>
    <t>Troufanov-Sin, Neliya</t>
  </si>
  <si>
    <t>H1E6E7</t>
  </si>
  <si>
    <t>neliya4ever@gmail.com</t>
  </si>
  <si>
    <t>Pelletier-Poirier, Alexis</t>
  </si>
  <si>
    <t>SAINT- ZOTIQUE</t>
  </si>
  <si>
    <t>H1Y1E2</t>
  </si>
  <si>
    <t>Malica11@Hotmail.fr</t>
  </si>
  <si>
    <t>Abdelaziz, Esraa</t>
  </si>
  <si>
    <t>MARCEL-LAURIN BLVD</t>
  </si>
  <si>
    <t>H4R0R7</t>
  </si>
  <si>
    <t>esraanabil268@gmail.com</t>
  </si>
  <si>
    <t>Baille, Dieudonné</t>
  </si>
  <si>
    <t>RUE DE LA PAIX</t>
  </si>
  <si>
    <t>J5Z4L6</t>
  </si>
  <si>
    <t>dieudonneebaille@gmail.com</t>
  </si>
  <si>
    <t>Assissel, Rime</t>
  </si>
  <si>
    <t>RUE BAKER</t>
  </si>
  <si>
    <t>J4V3C2</t>
  </si>
  <si>
    <t>rimeassissel@gmail.com</t>
  </si>
  <si>
    <t>Lahmici, Khalil</t>
  </si>
  <si>
    <t>khalil.lahmici@gmail.com</t>
  </si>
  <si>
    <t>Cissé, Adama</t>
  </si>
  <si>
    <t>CAR BENOÎT</t>
  </si>
  <si>
    <t>H4N2H4</t>
  </si>
  <si>
    <t>nabildeco95@gmail.com</t>
  </si>
  <si>
    <t>Sylla, Mohamed Naby</t>
  </si>
  <si>
    <t>RUE PARTHENAIS</t>
  </si>
  <si>
    <t>H2B2L7</t>
  </si>
  <si>
    <t>syllamohamednaby8@gmail.com</t>
  </si>
  <si>
    <t>Angarita Puerta, Maria Fernanda</t>
  </si>
  <si>
    <t>H1A5S3</t>
  </si>
  <si>
    <t>mafeangarita17@hotmail.com</t>
  </si>
  <si>
    <t>Delima, Marvins</t>
  </si>
  <si>
    <t>AVENUE BELFROY</t>
  </si>
  <si>
    <t>H1J1J5</t>
  </si>
  <si>
    <t>delimamexu51@hotmail.com</t>
  </si>
  <si>
    <t>Barthélus, Erveta</t>
  </si>
  <si>
    <t>H1E2S8</t>
  </si>
  <si>
    <t>erveta.barthelus15@gmail.com</t>
  </si>
  <si>
    <t>Ait Ourdja, Maria Farah</t>
  </si>
  <si>
    <t>H1M2G6</t>
  </si>
  <si>
    <t>mariadzz213@gmail.com</t>
  </si>
  <si>
    <t>Raiskii, Nikita</t>
  </si>
  <si>
    <t>BOULEVARD NEWMAN</t>
  </si>
  <si>
    <t>H8N0C8</t>
  </si>
  <si>
    <t>nikitaraiskii@gmail.com</t>
  </si>
  <si>
    <t>Peroumal, Ganaëlle</t>
  </si>
  <si>
    <t>H1A3P3</t>
  </si>
  <si>
    <t>ganaperoumal@gmail.com</t>
  </si>
  <si>
    <t>Pomerleau, Marion</t>
  </si>
  <si>
    <t>MASSON</t>
  </si>
  <si>
    <t>H1X1S1</t>
  </si>
  <si>
    <t>marion.pom03@gmail.com</t>
  </si>
  <si>
    <t>RUE SAINT-HUBERT</t>
  </si>
  <si>
    <t>Cheniti, Adlène-Elhadj</t>
  </si>
  <si>
    <t>adlenevivadz@gmail.com</t>
  </si>
  <si>
    <t>Pipendem Tsafack, Karless</t>
  </si>
  <si>
    <t>karless.pipendem2005@gmail.com</t>
  </si>
  <si>
    <t>Trejo Ayala, Danny</t>
  </si>
  <si>
    <t>danny.trejo306@gmail.com</t>
  </si>
  <si>
    <t>Boulanger, Simon</t>
  </si>
  <si>
    <t>H2V1E2</t>
  </si>
  <si>
    <t>simon.boulanger137@gmail.com</t>
  </si>
  <si>
    <t>Girard, Émile</t>
  </si>
  <si>
    <t>H2M1V7</t>
  </si>
  <si>
    <t>emilegirard01@gmail.com</t>
  </si>
  <si>
    <t>Boulanger, Gabriel</t>
  </si>
  <si>
    <t>SAINT-ZOTIQUE</t>
  </si>
  <si>
    <t>J0P1Z0</t>
  </si>
  <si>
    <t>gabriel_boulanger@hotmail.com</t>
  </si>
  <si>
    <t>Benchaib, Sirine</t>
  </si>
  <si>
    <t>13E AVENUE</t>
  </si>
  <si>
    <t>H1Z3K4</t>
  </si>
  <si>
    <t>sirine.2020dd@icloud.com</t>
  </si>
  <si>
    <t>Castil Bratuianu, Renée Marie</t>
  </si>
  <si>
    <t>AV PLAZA</t>
  </si>
  <si>
    <t>H1H4M9</t>
  </si>
  <si>
    <t>renita10@myyahoo.com</t>
  </si>
  <si>
    <t>Serrou Camy De Paiva, Helena</t>
  </si>
  <si>
    <t>BOULEVARD DE L'ASSOMPTION</t>
  </si>
  <si>
    <t>H1T2N3</t>
  </si>
  <si>
    <t>helenaserrou233@gmail.com</t>
  </si>
  <si>
    <t>Jean, Wetchel</t>
  </si>
  <si>
    <t>RENÉ-LAENNEC BLVD</t>
  </si>
  <si>
    <t>H7M4N3</t>
  </si>
  <si>
    <t>jeanwetchel@gmail.com</t>
  </si>
  <si>
    <t>Nguemkam Fom, Gilles Aurel</t>
  </si>
  <si>
    <t>CREVIER</t>
  </si>
  <si>
    <t>H4L2X5</t>
  </si>
  <si>
    <t>gillesaurel17@gmail.com</t>
  </si>
  <si>
    <t>Dehiles, Chaabane</t>
  </si>
  <si>
    <t>H1S1B8</t>
  </si>
  <si>
    <t>chaabane.dehiles10@gmail.com</t>
  </si>
  <si>
    <t>Mughal, Tayyab</t>
  </si>
  <si>
    <t>H4N2P3</t>
  </si>
  <si>
    <t>tayyabmg63@gmail.com</t>
  </si>
  <si>
    <t>Nouri, Abdullah</t>
  </si>
  <si>
    <t>abdouayan7@gmail.com</t>
  </si>
  <si>
    <t>Kenfack Assongmi, Ema Achille</t>
  </si>
  <si>
    <t>62E AVENUE</t>
  </si>
  <si>
    <t>H1C1Y2</t>
  </si>
  <si>
    <t>kenfackassongmi@yahoo.com</t>
  </si>
  <si>
    <t>Mathieu, Mérine</t>
  </si>
  <si>
    <t>H2G2V7</t>
  </si>
  <si>
    <t>merinemathieu@gmail.com</t>
  </si>
  <si>
    <t>Wade, Seydina</t>
  </si>
  <si>
    <t>H4P2A8</t>
  </si>
  <si>
    <t>yaseydih97@gmail.com</t>
  </si>
  <si>
    <t>Cui, Lei</t>
  </si>
  <si>
    <t>cuilei2021@gmail.com</t>
  </si>
  <si>
    <t>Jeanty, Marcline Laurenza</t>
  </si>
  <si>
    <t>AVENUE  DES ORMEAUX</t>
  </si>
  <si>
    <t>laujea0918@gmail.com</t>
  </si>
  <si>
    <t>Boodhoo, Gaurav</t>
  </si>
  <si>
    <t>BOULEVARD GUIMOND</t>
  </si>
  <si>
    <t>J4G1L5</t>
  </si>
  <si>
    <t>gauravboodhoo1111@gmail.com</t>
  </si>
  <si>
    <t>Rachid, Zakaria</t>
  </si>
  <si>
    <t>RUE DUGAS</t>
  </si>
  <si>
    <t>H1N1P3</t>
  </si>
  <si>
    <t>zakariarachid61002@gmail.com</t>
  </si>
  <si>
    <t>Rivière, Esther</t>
  </si>
  <si>
    <t>H1M3B5</t>
  </si>
  <si>
    <t>estherlariviere88@gmail.com</t>
  </si>
  <si>
    <t>Bnousinane, Aicha</t>
  </si>
  <si>
    <t>aichabnousinane1@gmail.com</t>
  </si>
  <si>
    <t>Franchini, Manon</t>
  </si>
  <si>
    <t>H1Y2S6</t>
  </si>
  <si>
    <t>manon.franchini@yahoo.fr</t>
  </si>
  <si>
    <t>Telisma, Claude Wesly</t>
  </si>
  <si>
    <t>RUE VENNE</t>
  </si>
  <si>
    <t>J6A2X7</t>
  </si>
  <si>
    <t>cwtelisma@gmail.com</t>
  </si>
  <si>
    <t>Medina Manriquez, Gabriel Isidro</t>
  </si>
  <si>
    <t>RUE SAINT-PIERRE</t>
  </si>
  <si>
    <t>LEMOYNE</t>
  </si>
  <si>
    <t>J4P3K3</t>
  </si>
  <si>
    <t>gabrielmedinamanriquez@gmail.com</t>
  </si>
  <si>
    <t>Silien, Reginal Dwight</t>
  </si>
  <si>
    <t>H1P2G7</t>
  </si>
  <si>
    <t>reginalsilien346@gmail.com</t>
  </si>
  <si>
    <t>Vantha, Visalboth</t>
  </si>
  <si>
    <t>VanthaV@hotmail.com</t>
  </si>
  <si>
    <t>Bastien, Warrens</t>
  </si>
  <si>
    <t>IBERVILLE BLVD</t>
  </si>
  <si>
    <t>J6A2B1</t>
  </si>
  <si>
    <t>warrensbastien@gmail.com</t>
  </si>
  <si>
    <t>Cherfa, Rayane Amine</t>
  </si>
  <si>
    <t>H1X2M4</t>
  </si>
  <si>
    <t>aminerayanecherfa@gmail.com</t>
  </si>
  <si>
    <t>Backiny Tamla, Emmanuel</t>
  </si>
  <si>
    <t>RUE DU PARC</t>
  </si>
  <si>
    <t>SAINT-LIN - LAURENTIDES</t>
  </si>
  <si>
    <t>J5M3A2</t>
  </si>
  <si>
    <t>brendelbt@yahoo.com</t>
  </si>
  <si>
    <t>Belmeddah, Ahmed</t>
  </si>
  <si>
    <t>J5Y1Z7</t>
  </si>
  <si>
    <t>belmeddaha@gmail.com</t>
  </si>
  <si>
    <t>Dari, Rabia Kevser</t>
  </si>
  <si>
    <t>RUE DE MONTREUX</t>
  </si>
  <si>
    <t>J6X4K4</t>
  </si>
  <si>
    <t>rkevser3@gmail.com</t>
  </si>
  <si>
    <t>Parmaksiz, Sumeyra</t>
  </si>
  <si>
    <t>RUE BEAUVOIR</t>
  </si>
  <si>
    <t>H1R1V5</t>
  </si>
  <si>
    <t>sumeyrap0205@gmail.com</t>
  </si>
  <si>
    <t>Papillon, Justin</t>
  </si>
  <si>
    <t>RUE DAVIDSON</t>
  </si>
  <si>
    <t>H1W2Y9</t>
  </si>
  <si>
    <t>justinpapille@gmail.com</t>
  </si>
  <si>
    <t>Medjoubi, Saida</t>
  </si>
  <si>
    <t>AV DE L'AUTHION</t>
  </si>
  <si>
    <t>saidamedjoubiba@gmail.com</t>
  </si>
  <si>
    <t>Comptabilité, finance et gestion des affaires</t>
  </si>
  <si>
    <t>Ben Mohamed, Yasser</t>
  </si>
  <si>
    <t>yasser.benmohamed2@gmail.com</t>
  </si>
  <si>
    <t>Davalo, Iris</t>
  </si>
  <si>
    <t>davalo.iris@gmail.com</t>
  </si>
  <si>
    <t>Boutalbi, Sami</t>
  </si>
  <si>
    <t>J6A6K8</t>
  </si>
  <si>
    <t>samiboutalbi8@gmail.com</t>
  </si>
  <si>
    <t>Joseph, Stéphène</t>
  </si>
  <si>
    <t>BOUL HENRI-BOURASSA E</t>
  </si>
  <si>
    <t>H1H1K3</t>
  </si>
  <si>
    <t>stephene.joseph@yahoo.com</t>
  </si>
  <si>
    <t>Inquimbert, Niels</t>
  </si>
  <si>
    <t>nielstropez@gmail.com</t>
  </si>
  <si>
    <t>Vega Diaz, Maria Fernanda</t>
  </si>
  <si>
    <t>RUE RAGUENEAU</t>
  </si>
  <si>
    <t>H1R1G3</t>
  </si>
  <si>
    <t>mfvega99@gmail.com</t>
  </si>
  <si>
    <t>Mahdi, Samia</t>
  </si>
  <si>
    <t>AV DES ANGEVINS</t>
  </si>
  <si>
    <t>H1K3R5</t>
  </si>
  <si>
    <t>mahdisamia03@gmail.com</t>
  </si>
  <si>
    <t>Demey, Alan</t>
  </si>
  <si>
    <t>alan.demey02@gmail.com</t>
  </si>
  <si>
    <t>Hadjami, Ghali</t>
  </si>
  <si>
    <t>RUE DOMINION</t>
  </si>
  <si>
    <t>H3J2C1</t>
  </si>
  <si>
    <t>h.wald11@gmail.com</t>
  </si>
  <si>
    <t>Roy Houde, Camille</t>
  </si>
  <si>
    <t>BOULEVARD DE YORK OUEST</t>
  </si>
  <si>
    <t>GASPÉ</t>
  </si>
  <si>
    <t>G4X2M5</t>
  </si>
  <si>
    <t>camille.roy.houde@gmail.com</t>
  </si>
  <si>
    <t>Deliba, Assia</t>
  </si>
  <si>
    <t>H1M2B6</t>
  </si>
  <si>
    <t>aminadeliba@gmail.com</t>
  </si>
  <si>
    <t>Champagne, Reine</t>
  </si>
  <si>
    <t>RUE THERRIEN</t>
  </si>
  <si>
    <t>J7J1J8</t>
  </si>
  <si>
    <t>santeenmain@videotron.ca</t>
  </si>
  <si>
    <t>Laliberté, Nadine</t>
  </si>
  <si>
    <t>H2E2E6</t>
  </si>
  <si>
    <t>nad.laliberte@gmail.com</t>
  </si>
  <si>
    <t>Dorais, Lilianne</t>
  </si>
  <si>
    <t>RUE BESNER</t>
  </si>
  <si>
    <t>lilianne9@hotmail.com</t>
  </si>
  <si>
    <t>Dubé, Simon</t>
  </si>
  <si>
    <t>diabledube@gmail.com</t>
  </si>
  <si>
    <t>Chevrier, Milianne</t>
  </si>
  <si>
    <t>RUE DES CHÊNES</t>
  </si>
  <si>
    <t>LES CÈDRES</t>
  </si>
  <si>
    <t>J7T3C1</t>
  </si>
  <si>
    <t>miliannechevrier@gmail.com</t>
  </si>
  <si>
    <t>Scala, Anne</t>
  </si>
  <si>
    <t>AV DE CHATEAUBRIAND</t>
  </si>
  <si>
    <t>H2P2A6</t>
  </si>
  <si>
    <t>anne.scaala@gmail.com</t>
  </si>
  <si>
    <t>Oultache, Taissir</t>
  </si>
  <si>
    <t>oultachetaissir@hotmail.com</t>
  </si>
  <si>
    <t>Senhaji Mouhadeb, Sarah</t>
  </si>
  <si>
    <t>J4L4J6</t>
  </si>
  <si>
    <t>sarah.senh@hotmail.com</t>
  </si>
  <si>
    <t>Spagnoli, Olivia</t>
  </si>
  <si>
    <t>H1M3A9</t>
  </si>
  <si>
    <t>spagnoliolivia@gmail.com</t>
  </si>
  <si>
    <t>Châtillon, Lévi</t>
  </si>
  <si>
    <t>H1T2E9</t>
  </si>
  <si>
    <t>levichatillon@gmail.com</t>
  </si>
  <si>
    <t>Charlette, Emma</t>
  </si>
  <si>
    <t>RUE DES OLIVIERS</t>
  </si>
  <si>
    <t>J7T3E1</t>
  </si>
  <si>
    <t>emmacharlette2@gmail.com</t>
  </si>
  <si>
    <t>Gariepy, Juliette</t>
  </si>
  <si>
    <t>17juliettegariepy17@gmail.com</t>
  </si>
  <si>
    <t>Michaud, Ève</t>
  </si>
  <si>
    <t>H1W2Y1</t>
  </si>
  <si>
    <t>evemichaud.08@gmail.com</t>
  </si>
  <si>
    <t>Alloui, Hanane</t>
  </si>
  <si>
    <t>H1H3M4</t>
  </si>
  <si>
    <t>hananealloui18@gmail.com</t>
  </si>
  <si>
    <t>El Hammar, Ibtissam</t>
  </si>
  <si>
    <t>H1S0B1</t>
  </si>
  <si>
    <t>ibtissam6002@gmail.com</t>
  </si>
  <si>
    <t>Martin, Corentin</t>
  </si>
  <si>
    <t>RUE DE JUMONVILLE</t>
  </si>
  <si>
    <t>H1M3S8</t>
  </si>
  <si>
    <t>corentin.montreal@outlook.fr</t>
  </si>
  <si>
    <t>ST-HUBERT</t>
  </si>
  <si>
    <t>AVENUE DES ÉRABLES</t>
  </si>
  <si>
    <t>Bargach, Nadine</t>
  </si>
  <si>
    <t>H1Z3A3</t>
  </si>
  <si>
    <t>nadinebrg@outlook.com</t>
  </si>
  <si>
    <t>Douville-Deguire, Krystina</t>
  </si>
  <si>
    <t>krystinadouville@hotmail.ca</t>
  </si>
  <si>
    <t>Guénard, Charles-André</t>
  </si>
  <si>
    <t>H1B2G5</t>
  </si>
  <si>
    <t>Charles.A010912@gmail.com</t>
  </si>
  <si>
    <t>Forestal, Chanaïra Samie</t>
  </si>
  <si>
    <t>H1A3P6</t>
  </si>
  <si>
    <t>nathanforestal@yahoo.com</t>
  </si>
  <si>
    <t>Brûlé, Camille</t>
  </si>
  <si>
    <t>SAINT-BASILE-LE-GRAND</t>
  </si>
  <si>
    <t>J3N1J9</t>
  </si>
  <si>
    <t>camillebrule066@gmail.com</t>
  </si>
  <si>
    <t>Laurier, Émile</t>
  </si>
  <si>
    <t>RUE ERNEST-OUIMET</t>
  </si>
  <si>
    <t>H1E6W6</t>
  </si>
  <si>
    <t>emilelaurier@hotmail.com</t>
  </si>
  <si>
    <t>Delva, Bradley</t>
  </si>
  <si>
    <t>H1R3K9</t>
  </si>
  <si>
    <t>delvahermancia@gmail.com</t>
  </si>
  <si>
    <t>Maliqi, Leart</t>
  </si>
  <si>
    <t>HENRI-DESLONGCHAMPS</t>
  </si>
  <si>
    <t>H1X3H6</t>
  </si>
  <si>
    <t>leartmaliqi2006@icloud.com</t>
  </si>
  <si>
    <t>Dolce, Brian Bismarck</t>
  </si>
  <si>
    <t>lilbrian839@gmail.com</t>
  </si>
  <si>
    <t>Portillo Huezo, Samuel Alonso</t>
  </si>
  <si>
    <t>H1S1M2</t>
  </si>
  <si>
    <t>samuelalonsolportillohuezo@gmail.com</t>
  </si>
  <si>
    <t>Nguyen, Tra Khanh Linh</t>
  </si>
  <si>
    <t>RUE JEAN-RIVARD</t>
  </si>
  <si>
    <t>H1R1V2</t>
  </si>
  <si>
    <t>6248068@crosemont.qc.ca</t>
  </si>
  <si>
    <t>Cooper, Sabrina</t>
  </si>
  <si>
    <t>AVENUE CASGRAIN</t>
  </si>
  <si>
    <t>H2S2Z8</t>
  </si>
  <si>
    <t>sab.cooper@hotmail.com</t>
  </si>
  <si>
    <t>El Alami, Marwa</t>
  </si>
  <si>
    <t>H2P2Z2</t>
  </si>
  <si>
    <t>elalami.fm@gmail.com</t>
  </si>
  <si>
    <t>Mihi, Amira</t>
  </si>
  <si>
    <t>RUE PICASSO</t>
  </si>
  <si>
    <t>H1P3E5</t>
  </si>
  <si>
    <t>amirabougharraf@outlook.com</t>
  </si>
  <si>
    <t>Séguin, Elizabeth</t>
  </si>
  <si>
    <t>AV DE LA RENAISSANCE</t>
  </si>
  <si>
    <t>H7L5P2</t>
  </si>
  <si>
    <t>elizabeth-seguin@hotmail.com</t>
  </si>
  <si>
    <t>Barbier, Josée</t>
  </si>
  <si>
    <t>RUE RICHARD-VENNE</t>
  </si>
  <si>
    <t>joseebarbier8@gmail.com</t>
  </si>
  <si>
    <t>Bernard-Leduc, Anouk</t>
  </si>
  <si>
    <t>RUE DES CÉPAGES</t>
  </si>
  <si>
    <t>J5M0G6</t>
  </si>
  <si>
    <t>anouk.b.leduc@gmail.com</t>
  </si>
  <si>
    <t>Côté, Emilie</t>
  </si>
  <si>
    <t>RUE DENONVILLE</t>
  </si>
  <si>
    <t>J4L2P9</t>
  </si>
  <si>
    <t>coteemilie04@gmail.com</t>
  </si>
  <si>
    <t>Grenier-Roiseux, Loïc</t>
  </si>
  <si>
    <t>RUE BERCY</t>
  </si>
  <si>
    <t>H2K2V6</t>
  </si>
  <si>
    <t>loicgrenierr@outlook.com</t>
  </si>
  <si>
    <t>Chang, Man-Jung</t>
  </si>
  <si>
    <t>RUE CHARLES-DARWIN</t>
  </si>
  <si>
    <t>H4R2X3</t>
  </si>
  <si>
    <t>itzmel621@gmail.com</t>
  </si>
  <si>
    <t>Metayer, Ariane</t>
  </si>
  <si>
    <t>CHEMIN DU COTEAU</t>
  </si>
  <si>
    <t>J6W5H2</t>
  </si>
  <si>
    <t>arimetayer@gmail.com</t>
  </si>
  <si>
    <t>Ganesharatna Sarma, Mathumetha</t>
  </si>
  <si>
    <t>TERRASSE PAUL-COMTOIS</t>
  </si>
  <si>
    <t>H7G4S9</t>
  </si>
  <si>
    <t>mathuGsarma@gmail.com</t>
  </si>
  <si>
    <t>Lanthier, Marianne</t>
  </si>
  <si>
    <t>RUE DES VERDIERS</t>
  </si>
  <si>
    <t>J7C5V5</t>
  </si>
  <si>
    <t>marianne.lanthier@gmail.com</t>
  </si>
  <si>
    <t>Cossette-Labbé, Raphaël</t>
  </si>
  <si>
    <t>raphael.cossette-labbe@hotmail.com</t>
  </si>
  <si>
    <t>Paradis, Olivia</t>
  </si>
  <si>
    <t>RUE SAINT DAVID</t>
  </si>
  <si>
    <t>PRICE</t>
  </si>
  <si>
    <t>G0J1Z0</t>
  </si>
  <si>
    <t>oliviaparadis14@hotmail.com</t>
  </si>
  <si>
    <t>Larochelle, Arno</t>
  </si>
  <si>
    <t>AV DU CURÉ-CLERMONT</t>
  </si>
  <si>
    <t>H1K1X4</t>
  </si>
  <si>
    <t>arnolarochelle09@gmail.com</t>
  </si>
  <si>
    <t>Dahoud, Lidia</t>
  </si>
  <si>
    <t>DES SOURCES</t>
  </si>
  <si>
    <t>ST ANNES DES PLAINES</t>
  </si>
  <si>
    <t>J5N4A2</t>
  </si>
  <si>
    <t>dahoudlolo@gmail.com</t>
  </si>
  <si>
    <t>Bonnet, Juliette</t>
  </si>
  <si>
    <t>RUE BON-AIR</t>
  </si>
  <si>
    <t>SAINTE-CATHERINE-DE-LA-JACQUES</t>
  </si>
  <si>
    <t>G3N1B5</t>
  </si>
  <si>
    <t>juliette.bonnet333@gmail.com</t>
  </si>
  <si>
    <t>Philéus, Saïka</t>
  </si>
  <si>
    <t>AVENUE ARTHUR-BUIES</t>
  </si>
  <si>
    <t>MONTREAL-NORD</t>
  </si>
  <si>
    <t>H1G4M6</t>
  </si>
  <si>
    <t>saikaphileus@gmail.com</t>
  </si>
  <si>
    <t>Svechnikova, Elizaveta</t>
  </si>
  <si>
    <t>elie_svech@hotmail.com</t>
  </si>
  <si>
    <t>Jones, Catherine-Anne</t>
  </si>
  <si>
    <t>DAGENAIS BLVD O</t>
  </si>
  <si>
    <t>H7P1T7</t>
  </si>
  <si>
    <t>catherinejones414caj1854@gmail.com</t>
  </si>
  <si>
    <t>Francois, Paul-Ryan</t>
  </si>
  <si>
    <t>H1Z3L4</t>
  </si>
  <si>
    <t>francois.paulryan@cra.education</t>
  </si>
  <si>
    <t>Perron, Marc-Antoine</t>
  </si>
  <si>
    <t>RUE DE BRÉTIGNY</t>
  </si>
  <si>
    <t>H7P5X1</t>
  </si>
  <si>
    <t>marcantoinep1104@icloud.com</t>
  </si>
  <si>
    <t>St-Arnault, Émil</t>
  </si>
  <si>
    <t>H1T2P2</t>
  </si>
  <si>
    <t>starnaulte4@gmail.com</t>
  </si>
  <si>
    <t>Martinez Gaitan, Roussell Antonio</t>
  </si>
  <si>
    <t>H2K1K2</t>
  </si>
  <si>
    <t>rousselmartinez01@gmail.com</t>
  </si>
  <si>
    <t>Leduc, Léanne</t>
  </si>
  <si>
    <t>AVENUE DE LA SALLE</t>
  </si>
  <si>
    <t>H1V2K7</t>
  </si>
  <si>
    <t>leanneleduc120105@gmail.com</t>
  </si>
  <si>
    <t>Laborde, Nora</t>
  </si>
  <si>
    <t>H1X2T8</t>
  </si>
  <si>
    <t>norazeboss@gmail.com</t>
  </si>
  <si>
    <t>Ezzine, Adam Othmane</t>
  </si>
  <si>
    <t>RUE CHOQUETTE</t>
  </si>
  <si>
    <t>H1R3A1</t>
  </si>
  <si>
    <t>ezzineadam01@gmail.com</t>
  </si>
  <si>
    <t>Desilets-Dugas, Maël</t>
  </si>
  <si>
    <t>CHRISTOPHE-COLOMB</t>
  </si>
  <si>
    <t>H2S2H3</t>
  </si>
  <si>
    <t>maeldd8@gmail.com</t>
  </si>
  <si>
    <t>Quirion, Clémence</t>
  </si>
  <si>
    <t>H2G2R3</t>
  </si>
  <si>
    <t>clequirion@gmail.com</t>
  </si>
  <si>
    <t>Rousseau, Léa</t>
  </si>
  <si>
    <t>RUE TOUCHETTE</t>
  </si>
  <si>
    <t>SAINTE-JULIE</t>
  </si>
  <si>
    <t>J3E1J7</t>
  </si>
  <si>
    <t>lea_rousseau@icloud.com</t>
  </si>
  <si>
    <t>Miloudi, Hanane</t>
  </si>
  <si>
    <t>TOLHURST</t>
  </si>
  <si>
    <t>H2N1W7</t>
  </si>
  <si>
    <t>milhana20@gmail.com</t>
  </si>
  <si>
    <t>Beauchemin-Lachapelle, Etienne</t>
  </si>
  <si>
    <t>RUE SAUVÉ E</t>
  </si>
  <si>
    <t>H2C2A9</t>
  </si>
  <si>
    <t>etiennebl222@gmail.com</t>
  </si>
  <si>
    <t>Pascal, Elmina</t>
  </si>
  <si>
    <t>AVENUE ROBERT</t>
  </si>
  <si>
    <t>H1G3Y6</t>
  </si>
  <si>
    <t>ewminapascalina@hotmail.ca</t>
  </si>
  <si>
    <t>Guiza Castro, Juan Sebastian</t>
  </si>
  <si>
    <t>H1T3G9</t>
  </si>
  <si>
    <t>sebanchos16@gmail.com</t>
  </si>
  <si>
    <t>Gemme, Joëlle</t>
  </si>
  <si>
    <t>RUE NOTRE-DAME EST</t>
  </si>
  <si>
    <t>H1B2Z1</t>
  </si>
  <si>
    <t>gemmejoelle@outlook.com</t>
  </si>
  <si>
    <t>Sauvé, Geneviève</t>
  </si>
  <si>
    <t>RUE JACQUES</t>
  </si>
  <si>
    <t>J5K0M5</t>
  </si>
  <si>
    <t>gsauve@cloutierelectro.com</t>
  </si>
  <si>
    <t>Dion, Patrick</t>
  </si>
  <si>
    <t>H1X2C7</t>
  </si>
  <si>
    <t>patrick_dion78@hotmail.fr</t>
  </si>
  <si>
    <t>Lemieux, Eliane</t>
  </si>
  <si>
    <t>RUE DE LILLE</t>
  </si>
  <si>
    <t>H2B2R5</t>
  </si>
  <si>
    <t>lemieuxeliane@yahoo.ca</t>
  </si>
  <si>
    <t>Pelletier, Amélie</t>
  </si>
  <si>
    <t>RUE MÉLISANDE</t>
  </si>
  <si>
    <t>H7A3T1</t>
  </si>
  <si>
    <t>ameliecool@hotmail.fr</t>
  </si>
  <si>
    <t>Valiquette, Marie-Eve</t>
  </si>
  <si>
    <t>RUE DES PERVENCHES</t>
  </si>
  <si>
    <t>J3Y8Z6</t>
  </si>
  <si>
    <t>m.e.valiquette12@gmail.com</t>
  </si>
  <si>
    <t>Rafiqzad, Yosuf</t>
  </si>
  <si>
    <t>yosuf_1111@hotmail.com</t>
  </si>
  <si>
    <t>Audette, Francis</t>
  </si>
  <si>
    <t>RUE SAINT-VIATEUR</t>
  </si>
  <si>
    <t>RIGAUD</t>
  </si>
  <si>
    <t>J0P1P0</t>
  </si>
  <si>
    <t>audettef13@gmail.com</t>
  </si>
  <si>
    <t>Bélisle, Gabrielle</t>
  </si>
  <si>
    <t>ÉDOUARD-MONTPETIT BLVD</t>
  </si>
  <si>
    <t>H3T1J8</t>
  </si>
  <si>
    <t>gab.belisle08@gmail.com</t>
  </si>
  <si>
    <t>Alam, Farzana</t>
  </si>
  <si>
    <t>RUE SAINT-CLÉMENT</t>
  </si>
  <si>
    <t>H1V3E8</t>
  </si>
  <si>
    <t>alamjumanje@gmail.com</t>
  </si>
  <si>
    <t>Nimubona, Evelyne</t>
  </si>
  <si>
    <t>H1H3H1</t>
  </si>
  <si>
    <t>nimubonaevelyne00@gmail.com</t>
  </si>
  <si>
    <t>Guimbang A Djiben, Grâce Naomie</t>
  </si>
  <si>
    <t>J5Z1Z5</t>
  </si>
  <si>
    <t>guimbangnaomie@gmail.com</t>
  </si>
  <si>
    <t>Goulet, Clémence</t>
  </si>
  <si>
    <t>RUE BOILEAU</t>
  </si>
  <si>
    <t>H1N1P5</t>
  </si>
  <si>
    <t>clemencegoulet@gmail.com</t>
  </si>
  <si>
    <t>Cléophat, Erika Sainlot</t>
  </si>
  <si>
    <t>AVENUE RENÉ-DESCARTES</t>
  </si>
  <si>
    <t>H1E3J1</t>
  </si>
  <si>
    <t>erikasainlot97@gmail.com</t>
  </si>
  <si>
    <t>Juchet, Charlotte</t>
  </si>
  <si>
    <t>H2S3J3</t>
  </si>
  <si>
    <t>charlottejuchet@gmail.com</t>
  </si>
  <si>
    <t>Gadbois, Rose</t>
  </si>
  <si>
    <t>AVENUE DE LOUISBOURG</t>
  </si>
  <si>
    <t>BÉCANCOUR</t>
  </si>
  <si>
    <t>G9H1T3</t>
  </si>
  <si>
    <t>rosegadbois@icloud.com</t>
  </si>
  <si>
    <t>Sanchez, Eva Sofia</t>
  </si>
  <si>
    <t>H1M2C4</t>
  </si>
  <si>
    <t>evasofia2306@gmail.com</t>
  </si>
  <si>
    <t>Sosa-Bélanger, Matis</t>
  </si>
  <si>
    <t>RUE GUSTAVE-BLEAU</t>
  </si>
  <si>
    <t>H1L1G2</t>
  </si>
  <si>
    <t>sosamatisb@gmail.com</t>
  </si>
  <si>
    <t>Guévremont, Delphine</t>
  </si>
  <si>
    <t>GABRIELLE-ROY</t>
  </si>
  <si>
    <t>H1K4X2</t>
  </si>
  <si>
    <t>delguev@hotmail.com</t>
  </si>
  <si>
    <t>Lapoy, Lyna</t>
  </si>
  <si>
    <t>H1T3N9</t>
  </si>
  <si>
    <t>Lynalapoy2@gmail.com</t>
  </si>
  <si>
    <t>Sadler-Jalbert, Victor</t>
  </si>
  <si>
    <t>H1Y2N2</t>
  </si>
  <si>
    <t>victor.sadler.jalbert@gmail.com</t>
  </si>
  <si>
    <t>Zhang, Karine</t>
  </si>
  <si>
    <t>karine.zhang@hotmail.com</t>
  </si>
  <si>
    <t>Desgens Béland, Julien</t>
  </si>
  <si>
    <t>RUE PAUL SICOTTE</t>
  </si>
  <si>
    <t>J7E4Z8</t>
  </si>
  <si>
    <t>julien_desgens@hotmail.com</t>
  </si>
  <si>
    <t>Ferjani, Housem</t>
  </si>
  <si>
    <t>RUE BÉLAIR</t>
  </si>
  <si>
    <t>H2A2B3</t>
  </si>
  <si>
    <t>housem.ferjani@hotmail.com</t>
  </si>
  <si>
    <t>Charron, Martin</t>
  </si>
  <si>
    <t>H1X2N4</t>
  </si>
  <si>
    <t>marty_98765c@hotmail.com</t>
  </si>
  <si>
    <t>Vallières, Benjamin</t>
  </si>
  <si>
    <t>RUE MAISONNEUVE</t>
  </si>
  <si>
    <t>J3Y7W8</t>
  </si>
  <si>
    <t>stratocaster_63@hotmail.ca</t>
  </si>
  <si>
    <t>El-Zein, Muhammad Ali</t>
  </si>
  <si>
    <t>RUE BROCHU</t>
  </si>
  <si>
    <t>H4N1V1</t>
  </si>
  <si>
    <t>m.alielzein@hotmail.com</t>
  </si>
  <si>
    <t>Poulin, Anika</t>
  </si>
  <si>
    <t>ST-ALPHONSE SUD</t>
  </si>
  <si>
    <t>MAGOG</t>
  </si>
  <si>
    <t>J1X0C8</t>
  </si>
  <si>
    <t>anikapoulin06@hotmail.com</t>
  </si>
  <si>
    <t>Chicoine, Élodie</t>
  </si>
  <si>
    <t>RUE CHAMPÊTRE</t>
  </si>
  <si>
    <t>SAINT-HYACINTHE</t>
  </si>
  <si>
    <t>J2R1B1</t>
  </si>
  <si>
    <t>elo.chicoine@gmail.com</t>
  </si>
  <si>
    <t>Champagne, Myralie</t>
  </si>
  <si>
    <t>RUE VINCENT</t>
  </si>
  <si>
    <t>J6E8M9</t>
  </si>
  <si>
    <t>myraliechampagne3002@hotmail.com</t>
  </si>
  <si>
    <t>Vienneau, Cindy</t>
  </si>
  <si>
    <t>RUE JEAN-CHAUVIN</t>
  </si>
  <si>
    <t>H7L5H1</t>
  </si>
  <si>
    <t>guccigucci1991@outlook.com</t>
  </si>
  <si>
    <t>Paquette, Anthony</t>
  </si>
  <si>
    <t>TAILLEFER</t>
  </si>
  <si>
    <t>H7L5L8</t>
  </si>
  <si>
    <t>paquetteanthony@outlook.com</t>
  </si>
  <si>
    <t>Atto Mendoza, Mauricio Saul</t>
  </si>
  <si>
    <t>mauricio.saul.atto@gmail.com</t>
  </si>
  <si>
    <t>Cheremond-Pierre, Adina</t>
  </si>
  <si>
    <t>RUE COURSOL</t>
  </si>
  <si>
    <t>H7V1W3</t>
  </si>
  <si>
    <t>cheremondpierreadina@gmail.com</t>
  </si>
  <si>
    <t>Chevalier, Maeva</t>
  </si>
  <si>
    <t>VILLERAY</t>
  </si>
  <si>
    <t>H2R1H8</t>
  </si>
  <si>
    <t>maevachevalierr@gmail.com</t>
  </si>
  <si>
    <t>Mejia Rodriguez, Alexandra</t>
  </si>
  <si>
    <t>RUE D'ARRAS</t>
  </si>
  <si>
    <t>H1P2Y6</t>
  </si>
  <si>
    <t>alexandramrdgz@gmail.com</t>
  </si>
  <si>
    <t>Belaid, Meryam</t>
  </si>
  <si>
    <t>H1G4K2</t>
  </si>
  <si>
    <t>meryambelaid22@gmail.com</t>
  </si>
  <si>
    <t>Sayed, Rose-Dalida</t>
  </si>
  <si>
    <t>BOULEVARD NAPOLÉON</t>
  </si>
  <si>
    <t>J4Y1Y5</t>
  </si>
  <si>
    <t>rosedalidasayed@gmail.com</t>
  </si>
  <si>
    <t>Martel-Boulanger, Fredéric</t>
  </si>
  <si>
    <t>H1A3J8</t>
  </si>
  <si>
    <t>boulangermartelfrederic@gmail.com</t>
  </si>
  <si>
    <t>Shah, Hadeeda</t>
  </si>
  <si>
    <t>heidialy290@gmail.com</t>
  </si>
  <si>
    <t>Brodeur, Cédric</t>
  </si>
  <si>
    <t>H1A1H8</t>
  </si>
  <si>
    <t>cedric.brodeur@gmail.com</t>
  </si>
  <si>
    <t>Berly, Akou</t>
  </si>
  <si>
    <t>ST HUBERT</t>
  </si>
  <si>
    <t>H2S2M2</t>
  </si>
  <si>
    <t>jakie.berly@gmail.com</t>
  </si>
  <si>
    <t>St Fort, Vanessa</t>
  </si>
  <si>
    <t>DE ROQUEBRUNE</t>
  </si>
  <si>
    <t>H1R3C4</t>
  </si>
  <si>
    <t>stfort40@gmail.com</t>
  </si>
  <si>
    <t>Ferhaoui, Melissa</t>
  </si>
  <si>
    <t>H2B1R9</t>
  </si>
  <si>
    <t>mferhaoui2@gmail.com</t>
  </si>
  <si>
    <t>Thomas, Lovely</t>
  </si>
  <si>
    <t>H1X2G8</t>
  </si>
  <si>
    <t>ricarly0128@yahoo.fr</t>
  </si>
  <si>
    <t>Esbry Munoz, Matison</t>
  </si>
  <si>
    <t>H2L1T4</t>
  </si>
  <si>
    <t>he.esbrymunoz@gmail.com</t>
  </si>
  <si>
    <t>Déry, Sainte</t>
  </si>
  <si>
    <t>AVENUE QUERBES</t>
  </si>
  <si>
    <t>CHICOUTIMI</t>
  </si>
  <si>
    <t>H2V2P1</t>
  </si>
  <si>
    <t>saintedery@gmail.com</t>
  </si>
  <si>
    <t>Tessier, Andrée-Anne</t>
  </si>
  <si>
    <t>AVENUE DU MAIL</t>
  </si>
  <si>
    <t>H1K1Z1</t>
  </si>
  <si>
    <t>andree.anne.tessier06@gmail.com</t>
  </si>
  <si>
    <t>Acosta Perelman, Javier</t>
  </si>
  <si>
    <t>RUE RICHMOND</t>
  </si>
  <si>
    <t>H3J0B7</t>
  </si>
  <si>
    <t>javier.acostap@hotmail.ca</t>
  </si>
  <si>
    <t>Bustingorry-Menou, Aaron</t>
  </si>
  <si>
    <t>RUE RENÉ</t>
  </si>
  <si>
    <t>J7M2A1</t>
  </si>
  <si>
    <t>aaron.menou@gmail.com</t>
  </si>
  <si>
    <t>Calixte, Zachary Emmanuel</t>
  </si>
  <si>
    <t>RUE DU COMMANDANT</t>
  </si>
  <si>
    <t>J6X4C3</t>
  </si>
  <si>
    <t>zach2107@icloud.com</t>
  </si>
  <si>
    <t>Cator-Dorvil, Antoine</t>
  </si>
  <si>
    <t>22 AVENUE</t>
  </si>
  <si>
    <t>H2A2H7</t>
  </si>
  <si>
    <t>antoine.cator@outlook.com</t>
  </si>
  <si>
    <t>Mutombo, Alejandra Tubala</t>
  </si>
  <si>
    <t>RUE SAURIOL</t>
  </si>
  <si>
    <t>J7P5J3</t>
  </si>
  <si>
    <t>kakiigololo5@gmail.com</t>
  </si>
  <si>
    <t>Souadda, Myriam</t>
  </si>
  <si>
    <t>H1G5H2</t>
  </si>
  <si>
    <t>myriam.souadda@gmail.com</t>
  </si>
  <si>
    <t>Ngatse, Henrietta</t>
  </si>
  <si>
    <t>39E AV</t>
  </si>
  <si>
    <t>H1E2E1</t>
  </si>
  <si>
    <t>Henriettangatse@gmail.com</t>
  </si>
  <si>
    <t>Beauchamp-Lirette, Charles</t>
  </si>
  <si>
    <t>RUE ONTARIO EAST</t>
  </si>
  <si>
    <t>H1W1S4</t>
  </si>
  <si>
    <t>charlesbeauchamp95@icloud.com</t>
  </si>
  <si>
    <t>Khaled, Adlan</t>
  </si>
  <si>
    <t>H1X1H4</t>
  </si>
  <si>
    <t>adlanou.khaled@gmail.com</t>
  </si>
  <si>
    <t>Corriveau, Juliette</t>
  </si>
  <si>
    <t>RUE VOLTAIRE</t>
  </si>
  <si>
    <t>H1C2E4</t>
  </si>
  <si>
    <t>juliettecorriveau06@gmail.com</t>
  </si>
  <si>
    <t>Sciences humaines: Profil Sport et société avec mathé</t>
  </si>
  <si>
    <t>Kijanja, Safi Sarah</t>
  </si>
  <si>
    <t>sarkyrobertson@gmail.com</t>
  </si>
  <si>
    <t>Weber, Emilia</t>
  </si>
  <si>
    <t>H8S2Y1</t>
  </si>
  <si>
    <t>emiliateresaweber@gmail.com</t>
  </si>
  <si>
    <t>Vallee-Wilson, Nathan</t>
  </si>
  <si>
    <t>nvalleewilson@gmail.com</t>
  </si>
  <si>
    <t>Adoum, Farhat</t>
  </si>
  <si>
    <t>farhatadoum85@gmail.com</t>
  </si>
  <si>
    <t>Mansouri, Mouad Abderrahim</t>
  </si>
  <si>
    <t>H1K1K7</t>
  </si>
  <si>
    <t>mouadofficiel00@gmail.com</t>
  </si>
  <si>
    <t>27E AVENUE</t>
  </si>
  <si>
    <t>Velauthapillai, Rammiya</t>
  </si>
  <si>
    <t>CHEMIN BEDFORD</t>
  </si>
  <si>
    <t>H3S1G7</t>
  </si>
  <si>
    <t>rammiyav@hotmail.com</t>
  </si>
  <si>
    <t>Jeong, Guang</t>
  </si>
  <si>
    <t>H2G2J4</t>
  </si>
  <si>
    <t>guangjeong@gmail.com</t>
  </si>
  <si>
    <t>RUE FRANÇOIS-PERRAULT</t>
  </si>
  <si>
    <t>H2A1K8</t>
  </si>
  <si>
    <t>Gagnon, Chloé</t>
  </si>
  <si>
    <t>RUE DAEMEN</t>
  </si>
  <si>
    <t>SHAWINIGAN</t>
  </si>
  <si>
    <t>G9N6B3</t>
  </si>
  <si>
    <t>chloegagnon2005@yahoo.com</t>
  </si>
  <si>
    <t>Bourassa Piché, Sabrina</t>
  </si>
  <si>
    <t>PLACE EDOUARD</t>
  </si>
  <si>
    <t>J4T3R2</t>
  </si>
  <si>
    <t>s.bourassa.p@gmail.com</t>
  </si>
  <si>
    <t>Garon, Élodie</t>
  </si>
  <si>
    <t>RUE DU CARILLON</t>
  </si>
  <si>
    <t>J5M2C7</t>
  </si>
  <si>
    <t>elodiegaron2005@yahoo.ca</t>
  </si>
  <si>
    <t>Marchand, Clémence</t>
  </si>
  <si>
    <t>PLACE DE MADÈRE</t>
  </si>
  <si>
    <t>J6X4A5</t>
  </si>
  <si>
    <t>karinaclemence@gmail.com</t>
  </si>
  <si>
    <t>Desjardins, Rae</t>
  </si>
  <si>
    <t>CHEMIN DE LA CÔTE SAINT LUC</t>
  </si>
  <si>
    <t>H3X2E2</t>
  </si>
  <si>
    <t>rachel.desjardins@hotmail.fr</t>
  </si>
  <si>
    <t>Alexandre, Néhémie</t>
  </si>
  <si>
    <t>RUE DES AMIS</t>
  </si>
  <si>
    <t>H7A3Y8</t>
  </si>
  <si>
    <t>alexandrefilsaimeshelby@gmail.com</t>
  </si>
  <si>
    <t>Francoeur, Léo</t>
  </si>
  <si>
    <t>RUE DU CARDINAL</t>
  </si>
  <si>
    <t>J7T2A9</t>
  </si>
  <si>
    <t>francoeurleo62@gmail.com</t>
  </si>
  <si>
    <t>Simoneau-Drolet, Daniel</t>
  </si>
  <si>
    <t>SAINT-AUGUSTIN-DE-DESMAURES</t>
  </si>
  <si>
    <t>G3A1B5</t>
  </si>
  <si>
    <t>daniel_simoneau@me.com</t>
  </si>
  <si>
    <t>Zaier, Rayan-Lyes</t>
  </si>
  <si>
    <t>RUE DESPORTES</t>
  </si>
  <si>
    <t>H1T1H6</t>
  </si>
  <si>
    <t>reda1304@outlook.com</t>
  </si>
  <si>
    <t>Dubuc, Raphaëlle</t>
  </si>
  <si>
    <t>AVENUE DU MONT-ROYAL EST</t>
  </si>
  <si>
    <t>H1X3P1</t>
  </si>
  <si>
    <t>raph130303@gmail.com</t>
  </si>
  <si>
    <t>Affane, Mohammed-Yacine</t>
  </si>
  <si>
    <t>RUE DE VILLEBOIS</t>
  </si>
  <si>
    <t>H1S1P7</t>
  </si>
  <si>
    <t>maffane47@gmail.com</t>
  </si>
  <si>
    <t>Bentayeb, Faysal</t>
  </si>
  <si>
    <t>RUE DE LOUISIANE</t>
  </si>
  <si>
    <t>H1P2P7</t>
  </si>
  <si>
    <t>faysalbentayeb2005@gmail.com</t>
  </si>
  <si>
    <t>El Fakrani, Heba</t>
  </si>
  <si>
    <t>RUE RIMBAUD</t>
  </si>
  <si>
    <t>H1R1N3</t>
  </si>
  <si>
    <t>elfakranih@edu.cspi.qc.ca</t>
  </si>
  <si>
    <t>Baheddi, Talal</t>
  </si>
  <si>
    <t>AVENUE AVRILLÉ</t>
  </si>
  <si>
    <t>H1K3X1</t>
  </si>
  <si>
    <t>t.baheddi05@gmail.com</t>
  </si>
  <si>
    <t>Charbonneau, Martine</t>
  </si>
  <si>
    <t>J4M1S8</t>
  </si>
  <si>
    <t>martine78@yahoo.com</t>
  </si>
  <si>
    <t>Kumarasamy, Yamini</t>
  </si>
  <si>
    <t>RUE DE GÊNES</t>
  </si>
  <si>
    <t>H1S2T8</t>
  </si>
  <si>
    <t>sivagini_1973@hotmail.com</t>
  </si>
  <si>
    <t>Lamghani, Zaynab</t>
  </si>
  <si>
    <t>RUE DE SÉGUR</t>
  </si>
  <si>
    <t>H1R2K3</t>
  </si>
  <si>
    <t>lamghanini2006@gmail.com</t>
  </si>
  <si>
    <t>Alexandre, Beverly</t>
  </si>
  <si>
    <t>H1H2H3</t>
  </si>
  <si>
    <t>alexandrebeverly368@gmail.com</t>
  </si>
  <si>
    <t>Ben Romdhane, Bilel</t>
  </si>
  <si>
    <t>RUE CHARMENIL</t>
  </si>
  <si>
    <t>H1S1N8</t>
  </si>
  <si>
    <t>bilelbenromdhane2005@gmail.com</t>
  </si>
  <si>
    <t>Bessa, Adnane</t>
  </si>
  <si>
    <t>PIGEON</t>
  </si>
  <si>
    <t>adnanes311@gmail.com</t>
  </si>
  <si>
    <t>Charini, Gabriel</t>
  </si>
  <si>
    <t>gabrielcharini23@gmail.com</t>
  </si>
  <si>
    <t>Daoust, Mélina</t>
  </si>
  <si>
    <t>H1Y1S6</t>
  </si>
  <si>
    <t>melinadaoust7@gmail.com</t>
  </si>
  <si>
    <t>St-Georges, Émile</t>
  </si>
  <si>
    <t>AVENUE D'ORLÉANS</t>
  </si>
  <si>
    <t>H1W3R7</t>
  </si>
  <si>
    <t>emile2006@videotron.ca</t>
  </si>
  <si>
    <t>Hernandez Falcon, Jefferson</t>
  </si>
  <si>
    <t>RUE D'AVILA</t>
  </si>
  <si>
    <t>H1T1J3</t>
  </si>
  <si>
    <t>hernandezjeffersonf@gmail.com</t>
  </si>
  <si>
    <t>Fouometio Manfouo, Cayva Melina</t>
  </si>
  <si>
    <t>fouometiocayva@gmail.com</t>
  </si>
  <si>
    <t>Jean Mary, Miriam-Shelby</t>
  </si>
  <si>
    <t>RUE BOUVIER</t>
  </si>
  <si>
    <t>J6X2A1</t>
  </si>
  <si>
    <t>miriam.shelby4587@gmail.com</t>
  </si>
  <si>
    <t>Morin, Éliane</t>
  </si>
  <si>
    <t>GERMAIN</t>
  </si>
  <si>
    <t>J4N1L9</t>
  </si>
  <si>
    <t>morineliane@outlook.com</t>
  </si>
  <si>
    <t>Gravel, Lisa</t>
  </si>
  <si>
    <t>RUE CAMPBELL</t>
  </si>
  <si>
    <t>J4V1Z1</t>
  </si>
  <si>
    <t>lisagravellg@hotmail.com</t>
  </si>
  <si>
    <t>Nault, Maéva</t>
  </si>
  <si>
    <t>H1K1Z6</t>
  </si>
  <si>
    <t>maevanault06@outlook.com</t>
  </si>
  <si>
    <t>Chouinard, Léia-R.</t>
  </si>
  <si>
    <t>RUE FÉLIX-LECLERC</t>
  </si>
  <si>
    <t>J7P0A6</t>
  </si>
  <si>
    <t>leia.chouinard@gmail.com</t>
  </si>
  <si>
    <t>Saulnier, Baptiste</t>
  </si>
  <si>
    <t>RUE DES ÉRABLES</t>
  </si>
  <si>
    <t>J5C1L6</t>
  </si>
  <si>
    <t>baptiste.saulnier.ca@gmail.com</t>
  </si>
  <si>
    <t>Pean, Wedley</t>
  </si>
  <si>
    <t>wedley09@hotmail.com</t>
  </si>
  <si>
    <t>Cloutier, Isis</t>
  </si>
  <si>
    <t>AV DU BOCAGE</t>
  </si>
  <si>
    <t>H1M1X2</t>
  </si>
  <si>
    <t>isis.soleilomg@gmail.com</t>
  </si>
  <si>
    <t>Thanabalasingham, Tharshini</t>
  </si>
  <si>
    <t>AV ÉMILE-JOURNAULT</t>
  </si>
  <si>
    <t>H1Z1S8</t>
  </si>
  <si>
    <t>thanabalatharshini@gmail.com</t>
  </si>
  <si>
    <t>Fugère-Cloutier, Charlotte</t>
  </si>
  <si>
    <t>38E AV</t>
  </si>
  <si>
    <t>H1T2X6</t>
  </si>
  <si>
    <t>charlotte.fc@hotmail.ca</t>
  </si>
  <si>
    <t>Lussier, Marion</t>
  </si>
  <si>
    <t>H1L2P7</t>
  </si>
  <si>
    <t>marionlulu33@gmail.com</t>
  </si>
  <si>
    <t>Hamadé, Ali</t>
  </si>
  <si>
    <t>alihamade07@hotmail.com</t>
  </si>
  <si>
    <t>Cameus, Roudji Laurell</t>
  </si>
  <si>
    <t>RUE DE NORMANVILLE</t>
  </si>
  <si>
    <t>H2S2B5</t>
  </si>
  <si>
    <t>cameusroudji651@gmail.com</t>
  </si>
  <si>
    <t>Hazmi, Mohammed Amine</t>
  </si>
  <si>
    <t>ALLEE LEO BRICAULT</t>
  </si>
  <si>
    <t>H1Z0B3</t>
  </si>
  <si>
    <t>aminehomme2016@gmail.com</t>
  </si>
  <si>
    <t>Trudeau, Paméla</t>
  </si>
  <si>
    <t>RUE DES AMARYLLIS</t>
  </si>
  <si>
    <t>J7V0E9</t>
  </si>
  <si>
    <t>massotherapam@gmail.com</t>
  </si>
  <si>
    <t>BOULEVARD LE BOURG NEUF</t>
  </si>
  <si>
    <t>Noiseux, Alexia</t>
  </si>
  <si>
    <t>RUE ALVARES</t>
  </si>
  <si>
    <t>J3N1A3</t>
  </si>
  <si>
    <t>alexia.noiseux@hotmail.com</t>
  </si>
  <si>
    <t>Favreau, Lauriane</t>
  </si>
  <si>
    <t>RUE VICTOR HUGO</t>
  </si>
  <si>
    <t>J5Y3R8</t>
  </si>
  <si>
    <t>lauriane.favreau@outlook.com</t>
  </si>
  <si>
    <t>Charles, Yrva</t>
  </si>
  <si>
    <t>RUE DARVEAU</t>
  </si>
  <si>
    <t>J4L2T7</t>
  </si>
  <si>
    <t>yrvacharles01@gmail.com</t>
  </si>
  <si>
    <t>Begum, Iktara</t>
  </si>
  <si>
    <t>begumiktara@gmail.com</t>
  </si>
  <si>
    <t>Perciun, Sabrina</t>
  </si>
  <si>
    <t>RUE DE TILLY</t>
  </si>
  <si>
    <t>J6V1C5</t>
  </si>
  <si>
    <t>sabrina.perciun@gmail.com</t>
  </si>
  <si>
    <t>Berthelot, Alexis</t>
  </si>
  <si>
    <t>RUE MARCO-POLO BOUCHERVILLE</t>
  </si>
  <si>
    <t>J4B6K8</t>
  </si>
  <si>
    <t>alexisberthelot1@hotmail.com</t>
  </si>
  <si>
    <t>Mikhnovitch, Éléonore</t>
  </si>
  <si>
    <t>H1Z3L7</t>
  </si>
  <si>
    <t>eleonore.m123@hotmail.com</t>
  </si>
  <si>
    <t>Driss, Adam</t>
  </si>
  <si>
    <t>H1M1G8</t>
  </si>
  <si>
    <t>drissa2@csdmedu.ca</t>
  </si>
  <si>
    <t>Giguère, Jean-Christophe</t>
  </si>
  <si>
    <t>H2S2C5</t>
  </si>
  <si>
    <t>jcgiguere06@gmail.com</t>
  </si>
  <si>
    <t>Berthelot, William</t>
  </si>
  <si>
    <t>RUE DES SUREAUX</t>
  </si>
  <si>
    <t>J4B0C8</t>
  </si>
  <si>
    <t>berthelotwill@gmail.com</t>
  </si>
  <si>
    <t>Chahid, Hiba</t>
  </si>
  <si>
    <t>RUE LEPAILLEUR</t>
  </si>
  <si>
    <t>H1L6E6</t>
  </si>
  <si>
    <t>hiba.chah@icloud.com</t>
  </si>
  <si>
    <t>Valdovinos Vilches, Francisca Belén</t>
  </si>
  <si>
    <t>BOULEVARD RAMEAU</t>
  </si>
  <si>
    <t>J6K2G7</t>
  </si>
  <si>
    <t>franciscavaldo424@gmail.com</t>
  </si>
  <si>
    <t>Piché, Frédéric</t>
  </si>
  <si>
    <t>H1G5A7</t>
  </si>
  <si>
    <t>piche-piche-pp@hotmail.com</t>
  </si>
  <si>
    <t>Brisson, Eliane</t>
  </si>
  <si>
    <t>RUE MALLETTE</t>
  </si>
  <si>
    <t>J6R0C4</t>
  </si>
  <si>
    <t>eliane.b.b.m98@gmail.com</t>
  </si>
  <si>
    <t>Gouin, Pierre-Alexandre</t>
  </si>
  <si>
    <t>pag2005@outlook.com</t>
  </si>
  <si>
    <t>Bradet-Rondeau, Loïc</t>
  </si>
  <si>
    <t>RUE VICTORIA</t>
  </si>
  <si>
    <t>H1A0B1</t>
  </si>
  <si>
    <t>lbradetrondeau@gmail.com</t>
  </si>
  <si>
    <t>Chaussé, Arthur</t>
  </si>
  <si>
    <t>H1T3E4</t>
  </si>
  <si>
    <t>arthur.chss@icloud.com</t>
  </si>
  <si>
    <t>Turcot, Nathaël</t>
  </si>
  <si>
    <t>Turcotnath@gmail.com</t>
  </si>
  <si>
    <t>Lesage, Tristan</t>
  </si>
  <si>
    <t>H2A3B6</t>
  </si>
  <si>
    <t>lesagetristan13@gmail.com</t>
  </si>
  <si>
    <t>Ahmed, Yumnah</t>
  </si>
  <si>
    <t>AV STUART</t>
  </si>
  <si>
    <t>H3N2S1</t>
  </si>
  <si>
    <t>yumnah431@gmail.com</t>
  </si>
  <si>
    <t>Alkma, Samy-Rayan</t>
  </si>
  <si>
    <t>30E AVENUE</t>
  </si>
  <si>
    <t>H1T3G2</t>
  </si>
  <si>
    <t>samyrayal@gmail.com</t>
  </si>
  <si>
    <t>Lagarde, Léo</t>
  </si>
  <si>
    <t>AVENUE LOUIS-HÉBERT</t>
  </si>
  <si>
    <t>H2G2G6</t>
  </si>
  <si>
    <t>lagardeleo7@gmail.com</t>
  </si>
  <si>
    <t>Chuidjang Keutchogue, Christian Karel</t>
  </si>
  <si>
    <t>54E AVENUE</t>
  </si>
  <si>
    <t>H1A2T6</t>
  </si>
  <si>
    <t>christiankarel4555@gmail.com</t>
  </si>
  <si>
    <t>Caron, Sarah-Maude</t>
  </si>
  <si>
    <t>PLACE DU CANAL</t>
  </si>
  <si>
    <t>J5C0A9</t>
  </si>
  <si>
    <t>sarahmaudecaron4@gmail.com</t>
  </si>
  <si>
    <t>Benguedouar, Maya Serine</t>
  </si>
  <si>
    <t>RUE BEAUCHESNE</t>
  </si>
  <si>
    <t>H1S2C7</t>
  </si>
  <si>
    <t>mayakaty37@gmail.com</t>
  </si>
  <si>
    <t>Lima Ramos, Jhonatta Aquila</t>
  </si>
  <si>
    <t>RUE ULRIC-GRAVEL</t>
  </si>
  <si>
    <t>H1C2K8</t>
  </si>
  <si>
    <t>xjhonpojox@gmail.com</t>
  </si>
  <si>
    <t>Thorng, Stephan</t>
  </si>
  <si>
    <t>RUE DE GROSBOIS</t>
  </si>
  <si>
    <t>H1K4M8</t>
  </si>
  <si>
    <t>tommynok509@gmail.com</t>
  </si>
  <si>
    <t>Arab, Samy</t>
  </si>
  <si>
    <t>H1R2Z5</t>
  </si>
  <si>
    <t>1samyarab@gmail.com</t>
  </si>
  <si>
    <t>Chênevert-Beaupré, Margaux</t>
  </si>
  <si>
    <t>RUE DE DRUCOURT</t>
  </si>
  <si>
    <t>H2G1N5</t>
  </si>
  <si>
    <t>margo_cb@hotmail.com</t>
  </si>
  <si>
    <t>Labbé, Jean-Simon</t>
  </si>
  <si>
    <t>RUE DU BOIS-MICHEL</t>
  </si>
  <si>
    <t>SAINT-MICHEL</t>
  </si>
  <si>
    <t>J0L2J0</t>
  </si>
  <si>
    <t>jean.s.labbe@mail.mcgill.ca</t>
  </si>
  <si>
    <t>To-Landry, Jean-Raphaël</t>
  </si>
  <si>
    <t>RUE DE MADRID</t>
  </si>
  <si>
    <t>J5R5Z9</t>
  </si>
  <si>
    <t>jrtolandry@hotmail.com</t>
  </si>
  <si>
    <t>Koretska, Elina</t>
  </si>
  <si>
    <t>H3E1E9</t>
  </si>
  <si>
    <t>elina.koretska@gmail.com</t>
  </si>
  <si>
    <t>Tran, Linna Tieu-Linh</t>
  </si>
  <si>
    <t>RUE DU VAL-MARTIN</t>
  </si>
  <si>
    <t>H7V3K7</t>
  </si>
  <si>
    <t>linnatran.mua@gmail.com</t>
  </si>
  <si>
    <t>Zhang, Yu Meng</t>
  </si>
  <si>
    <t>RUE TURNER</t>
  </si>
  <si>
    <t>J4W3E3</t>
  </si>
  <si>
    <t>yu.m.zhang@mail.mcgill.ca</t>
  </si>
  <si>
    <t>Khorchani, Asmaa</t>
  </si>
  <si>
    <t>RUE DU CAVEN CIRCLE</t>
  </si>
  <si>
    <t>H4M2C2</t>
  </si>
  <si>
    <t>asmakhorchani00@gmail.com</t>
  </si>
  <si>
    <t>Arseguel, Lily Danielle</t>
  </si>
  <si>
    <t>H2H2H8</t>
  </si>
  <si>
    <t>arseguellily@gmail.com</t>
  </si>
  <si>
    <t>Houle-Gasana, Sasha</t>
  </si>
  <si>
    <t>H1X1J2</t>
  </si>
  <si>
    <t>Shoulegasana@gmail.com</t>
  </si>
  <si>
    <t>Djeghmoum, Adib</t>
  </si>
  <si>
    <t>MONSELET</t>
  </si>
  <si>
    <t>MONTRÉAL NORD</t>
  </si>
  <si>
    <t>H1H2B5</t>
  </si>
  <si>
    <t>djeghmoumadib@outlook.com</t>
  </si>
  <si>
    <t>Rioux-Brisebois, Daphné</t>
  </si>
  <si>
    <t>RUE SYLVIO</t>
  </si>
  <si>
    <t>H7R6G4</t>
  </si>
  <si>
    <t>daffy06@icloud.com</t>
  </si>
  <si>
    <t>Doré, Murielle</t>
  </si>
  <si>
    <t>H1L4N4</t>
  </si>
  <si>
    <t>murielledore@gmail.com</t>
  </si>
  <si>
    <t>Galarneau, Ariane</t>
  </si>
  <si>
    <t>galarneaua3@hotmail.com</t>
  </si>
  <si>
    <t>Perodin, Maryanna</t>
  </si>
  <si>
    <t>RUE MCVEY</t>
  </si>
  <si>
    <t>H8R3T2</t>
  </si>
  <si>
    <t>ayperodin@gmail.com</t>
  </si>
  <si>
    <t>Mohamed, Baraa</t>
  </si>
  <si>
    <t>H3S1R7</t>
  </si>
  <si>
    <t>baraanddn@gmail.com</t>
  </si>
  <si>
    <t>Kpadonou, Ablavi Mawuli</t>
  </si>
  <si>
    <t>H8R1E2</t>
  </si>
  <si>
    <t>audreynsougan@gmail.com</t>
  </si>
  <si>
    <t>François, Max Dorensky</t>
  </si>
  <si>
    <t>H1G1K4</t>
  </si>
  <si>
    <t>maxdorenskyfrancois07@gmail.com</t>
  </si>
  <si>
    <t>Tokhtokhunov, Dastan</t>
  </si>
  <si>
    <t>AVENUE CHOUINARD</t>
  </si>
  <si>
    <t>dastantokh@gmail.com</t>
  </si>
  <si>
    <t>Paradis-Fournier, Mathias</t>
  </si>
  <si>
    <t>H1X2Y8</t>
  </si>
  <si>
    <t>SimpleMathias@outlook.com</t>
  </si>
  <si>
    <t>Ranger, Héléna Bilé</t>
  </si>
  <si>
    <t>RUE JESSICA</t>
  </si>
  <si>
    <t>H7P5V9</t>
  </si>
  <si>
    <t>helenaranger01@gmail.com</t>
  </si>
  <si>
    <t>Harper, Lyvia</t>
  </si>
  <si>
    <t>lyvia12harper@gmail.com</t>
  </si>
  <si>
    <t>Zaidi, Rayane</t>
  </si>
  <si>
    <t>H1S1P3</t>
  </si>
  <si>
    <t>rayanezaidi.pro@gmail.com</t>
  </si>
  <si>
    <t>Snacel, Idir</t>
  </si>
  <si>
    <t>PLACE DE CHAMBON</t>
  </si>
  <si>
    <t>H1K3S2</t>
  </si>
  <si>
    <t>snaceli2006@gmail.com</t>
  </si>
  <si>
    <t>25E AV</t>
  </si>
  <si>
    <t>Benmostefa Daho, Abdelkader</t>
  </si>
  <si>
    <t>19E AV</t>
  </si>
  <si>
    <t>benmostefadahoa@gmail.com</t>
  </si>
  <si>
    <t>Nolin, Annabelle</t>
  </si>
  <si>
    <t>CH DU FLEUVE</t>
  </si>
  <si>
    <t>annabellenolin7@gmail.com</t>
  </si>
  <si>
    <t>Gagnon, Coralie</t>
  </si>
  <si>
    <t>RUE DU PERCHE</t>
  </si>
  <si>
    <t>J4B5N3</t>
  </si>
  <si>
    <t>coraliegagnon27@gmail.com</t>
  </si>
  <si>
    <t>Almoufti, Masa</t>
  </si>
  <si>
    <t>BONNIVET</t>
  </si>
  <si>
    <t>H1P2H4</t>
  </si>
  <si>
    <t>masaalmoufti@gmail.com</t>
  </si>
  <si>
    <t>Lopez Vasquez, Nathaly Bernardeth</t>
  </si>
  <si>
    <t>AVENUE DES VIOLETTES</t>
  </si>
  <si>
    <t>H1G4N1</t>
  </si>
  <si>
    <t>lopeznathaly282@gmail.com</t>
  </si>
  <si>
    <t>Leroux, Alexis</t>
  </si>
  <si>
    <t>H1T2N7</t>
  </si>
  <si>
    <t>alexis.leroux1406@gmail.com</t>
  </si>
  <si>
    <t>Delgado Alcala, Adolfo Jesus</t>
  </si>
  <si>
    <t>fitox2003@gmail.com</t>
  </si>
  <si>
    <t>Liu, Xiao Mei</t>
  </si>
  <si>
    <t>H2K0C4</t>
  </si>
  <si>
    <t>liuxiaomei1029@gmail.com</t>
  </si>
  <si>
    <t>Boudreault, Flavie</t>
  </si>
  <si>
    <t>1RE AV</t>
  </si>
  <si>
    <t>flavieboudreault99@gmail.com</t>
  </si>
  <si>
    <t>Bouchard, Léo</t>
  </si>
  <si>
    <t>AV DES CÈDRES</t>
  </si>
  <si>
    <t>H1T2V3</t>
  </si>
  <si>
    <t>leobouchard2006@icloud.com</t>
  </si>
  <si>
    <t>Papineau, Anthony</t>
  </si>
  <si>
    <t>RUE DU BOISÉ-DES-ÎLES</t>
  </si>
  <si>
    <t>MONT-LAURIER</t>
  </si>
  <si>
    <t>J9L3G3</t>
  </si>
  <si>
    <t>anthonypapineau@icloud.com</t>
  </si>
  <si>
    <t>Landry, Christophe</t>
  </si>
  <si>
    <t>RUE DES VANNES</t>
  </si>
  <si>
    <t>H1S1Y5</t>
  </si>
  <si>
    <t>christophelandry2006@gmail.com</t>
  </si>
  <si>
    <t>Tittley, Marie-Laure</t>
  </si>
  <si>
    <t>H2S2E5</t>
  </si>
  <si>
    <t>ml.tittley@gmail.com</t>
  </si>
  <si>
    <t>Bidault-Meresse, Lucas</t>
  </si>
  <si>
    <t>RUE SHERBROOKE O</t>
  </si>
  <si>
    <t>WESTMOUNT</t>
  </si>
  <si>
    <t>H3Z1C7</t>
  </si>
  <si>
    <t>lucasbm11@hotmail.fr</t>
  </si>
  <si>
    <t>Gaudet, Marie-Soleil</t>
  </si>
  <si>
    <t>RUE SKELTON</t>
  </si>
  <si>
    <t>J7A1G1</t>
  </si>
  <si>
    <t>gaudetmarie14@gmail.com</t>
  </si>
  <si>
    <t>Grimanis-Woloshen, Evan</t>
  </si>
  <si>
    <t>H1H4Y4</t>
  </si>
  <si>
    <t>evansephra@gmail.com</t>
  </si>
  <si>
    <t>Sylvain, Alexandrine</t>
  </si>
  <si>
    <t>RUE LAFRANCE OUEST</t>
  </si>
  <si>
    <t>J3N1C7</t>
  </si>
  <si>
    <t>Alexandrinou23@gmail.com</t>
  </si>
  <si>
    <t>Mejia Cueva, Sthefany Noemi</t>
  </si>
  <si>
    <t>CURÉ-POIRIER BLVD O</t>
  </si>
  <si>
    <t>J4J2G9</t>
  </si>
  <si>
    <t>tifys2004@gmail.com</t>
  </si>
  <si>
    <t>Lefebvre, Alexandre</t>
  </si>
  <si>
    <t>BOULEVARD HOUDE</t>
  </si>
  <si>
    <t>J4R1L9</t>
  </si>
  <si>
    <t>mzybko@me.com</t>
  </si>
  <si>
    <t>Rubio-Garcia, Idalia Lorena</t>
  </si>
  <si>
    <t>H1K2N9</t>
  </si>
  <si>
    <t>LorenaRuby1@hotmail.com</t>
  </si>
  <si>
    <t>Fournier, Olive</t>
  </si>
  <si>
    <t>H1X2R7</t>
  </si>
  <si>
    <t>olivefournier7@hotmail.com</t>
  </si>
  <si>
    <t>Binette, Delphine</t>
  </si>
  <si>
    <t>H1L2M7</t>
  </si>
  <si>
    <t>delphinebinette@gmail.com</t>
  </si>
  <si>
    <t>Harmoun, Malak</t>
  </si>
  <si>
    <t>AVENUE DE LA ROCHE-SUR-YON</t>
  </si>
  <si>
    <t>H1K1A9</t>
  </si>
  <si>
    <t>harmounmalak2@gmail.com</t>
  </si>
  <si>
    <t>Allard, Mélodie</t>
  </si>
  <si>
    <t>H1B4K7</t>
  </si>
  <si>
    <t>melo06reflex@gmail.com</t>
  </si>
  <si>
    <t>Jean, Jayden</t>
  </si>
  <si>
    <t>57E AVENUE</t>
  </si>
  <si>
    <t>H1E3V5</t>
  </si>
  <si>
    <t>jaydenjean07@hotmail.com</t>
  </si>
  <si>
    <t>Alem, Nassima</t>
  </si>
  <si>
    <t>BOULEVARD WILFRID PELLETIER</t>
  </si>
  <si>
    <t>H1K1L2</t>
  </si>
  <si>
    <t>alemnassima371@gmail.com</t>
  </si>
  <si>
    <t>Dao, Nathalie</t>
  </si>
  <si>
    <t>RUE RENÉ-LABELLE</t>
  </si>
  <si>
    <t>H2M2L7</t>
  </si>
  <si>
    <t>natalie.dao@icloud.com</t>
  </si>
  <si>
    <t>Rakotondratsima, Fitahiana</t>
  </si>
  <si>
    <t>H2H2G7</t>
  </si>
  <si>
    <t>fitahiana.rakotondratsima@gmail.com</t>
  </si>
  <si>
    <t>Philie, Cédric</t>
  </si>
  <si>
    <t>ÉMOND</t>
  </si>
  <si>
    <t>J3X1C2</t>
  </si>
  <si>
    <t>cedric_philie@hotmail.com</t>
  </si>
  <si>
    <t>Carrera-Gauthier, Mila</t>
  </si>
  <si>
    <t>H2S0A4</t>
  </si>
  <si>
    <t>milaa.carrera6@gmail.com</t>
  </si>
  <si>
    <t>Guérin, Étienne</t>
  </si>
  <si>
    <t>H1Y0B2</t>
  </si>
  <si>
    <t>etienneg2006@gmail.com</t>
  </si>
  <si>
    <t>Pointe, Robin</t>
  </si>
  <si>
    <t>H1W3B2</t>
  </si>
  <si>
    <t>xavierpointe@gmail.com</t>
  </si>
  <si>
    <t>Pellerin, Alexandre</t>
  </si>
  <si>
    <t>martin.lavoie@cen.ulaval.ca</t>
  </si>
  <si>
    <t>Ouimet Mijango, Victor</t>
  </si>
  <si>
    <t>victor.ouimetmijango@gmail.com</t>
  </si>
  <si>
    <t>Aydin, Defne-Gul</t>
  </si>
  <si>
    <t>RUE FOLLEREAU</t>
  </si>
  <si>
    <t>H1S2L2</t>
  </si>
  <si>
    <t>aydindefnegul15@gmail.com</t>
  </si>
  <si>
    <t>Bui, Thiên Kim</t>
  </si>
  <si>
    <t>RUE BRAZIER</t>
  </si>
  <si>
    <t>H1R1G5</t>
  </si>
  <si>
    <t>kiwistery@gmail.com</t>
  </si>
  <si>
    <t>RUE GOYER</t>
  </si>
  <si>
    <t>Clark, Léa</t>
  </si>
  <si>
    <t>H1X2G3</t>
  </si>
  <si>
    <t>leaclark06@gmail.com</t>
  </si>
  <si>
    <t>Frappier, Angélik</t>
  </si>
  <si>
    <t>H8P2N2</t>
  </si>
  <si>
    <t>angelikfrappier78@gmail.com</t>
  </si>
  <si>
    <t>Menezes, Lucas</t>
  </si>
  <si>
    <t>RUE MARIE-ANNE</t>
  </si>
  <si>
    <t>H2H1M2</t>
  </si>
  <si>
    <t>lucasmelo.bm7@gmail.com</t>
  </si>
  <si>
    <t>Hamel, Jacob</t>
  </si>
  <si>
    <t>11E RANG</t>
  </si>
  <si>
    <t>SAINT-CHRISTOPHE-D'ARTHABASKA</t>
  </si>
  <si>
    <t>G6R0R6</t>
  </si>
  <si>
    <t>jacob.hamel2017@gmail.com</t>
  </si>
  <si>
    <t>Saint-Hillien, Sabrina</t>
  </si>
  <si>
    <t>H1W3E3</t>
  </si>
  <si>
    <t>sabrinasainthillien05@gmail.com</t>
  </si>
  <si>
    <t>Goulet-Blais, Kelly</t>
  </si>
  <si>
    <t>AVENUE LUDOVIC LAURIER</t>
  </si>
  <si>
    <t>J6W6A4</t>
  </si>
  <si>
    <t>kellygouuulet@hotmail.com</t>
  </si>
  <si>
    <t>Lachance, Ariane</t>
  </si>
  <si>
    <t>RUE JEAN-PIERRE</t>
  </si>
  <si>
    <t>J5Z0C3</t>
  </si>
  <si>
    <t>Arianelachance45@hotmail.com</t>
  </si>
  <si>
    <t>Brunelle, Lexie</t>
  </si>
  <si>
    <t>RUE MARTEL</t>
  </si>
  <si>
    <t>JOLIETTE</t>
  </si>
  <si>
    <t>J6E3K8</t>
  </si>
  <si>
    <t>lexxbruu15@gmail.com</t>
  </si>
  <si>
    <t>Lavoie, Sarah</t>
  </si>
  <si>
    <t>RUE DE VAL DES CHÊNES</t>
  </si>
  <si>
    <t>sarah.lavoie1@outlook.com</t>
  </si>
  <si>
    <t>Parent, Antoine</t>
  </si>
  <si>
    <t>RUE BOURGEOYS</t>
  </si>
  <si>
    <t>J5Z4S3</t>
  </si>
  <si>
    <t>parenta997@gmail.com</t>
  </si>
  <si>
    <t>Akram, Selma</t>
  </si>
  <si>
    <t>RUE DE GENTILLY</t>
  </si>
  <si>
    <t>H7K2M1</t>
  </si>
  <si>
    <t>selmaakram1@hotmail.fr</t>
  </si>
  <si>
    <t>Gagné-Laviolette, Justine</t>
  </si>
  <si>
    <t>RUE PICARD</t>
  </si>
  <si>
    <t>J7M2C1</t>
  </si>
  <si>
    <t>justinegl123@gmail.com</t>
  </si>
  <si>
    <t>Randriamandiny, Judith</t>
  </si>
  <si>
    <t>H1Y2V5</t>
  </si>
  <si>
    <t>judith.champier@gmail.com</t>
  </si>
  <si>
    <t>Paramalingam, Aran</t>
  </si>
  <si>
    <t>aranguna@yahoo.ca</t>
  </si>
  <si>
    <t>Ouimet, Ariane</t>
  </si>
  <si>
    <t>RUE GREENFIELD</t>
  </si>
  <si>
    <t>J4V2J5</t>
  </si>
  <si>
    <t>romtariane@gmail.com</t>
  </si>
  <si>
    <t>Ahsan, Subah</t>
  </si>
  <si>
    <t>subahahsan6@gmail.com</t>
  </si>
  <si>
    <t>Boulais-Lavoie, Jérémy</t>
  </si>
  <si>
    <t>H2G2C9</t>
  </si>
  <si>
    <t>jeremyboulaislavoie@gmail.com</t>
  </si>
  <si>
    <t>Therrien, William</t>
  </si>
  <si>
    <t>RUE DU POITOU</t>
  </si>
  <si>
    <t>J3E1A6</t>
  </si>
  <si>
    <t>wtherrien13@gmail.com</t>
  </si>
  <si>
    <t>Bari, Zeïna</t>
  </si>
  <si>
    <t>H1K1Y8</t>
  </si>
  <si>
    <t>zbari651@gmail.com</t>
  </si>
  <si>
    <t>Desautels, Camille</t>
  </si>
  <si>
    <t>H2G2J3</t>
  </si>
  <si>
    <t>camille.desautels@icloud.com</t>
  </si>
  <si>
    <t>Ahmad El-Tidjani Mahamat, Haoua</t>
  </si>
  <si>
    <t>AV BARCLAY</t>
  </si>
  <si>
    <t>zeyda.ahmad8@gmail.com</t>
  </si>
  <si>
    <t>Da Silva Domingues, Thomas</t>
  </si>
  <si>
    <t>H2A2J8</t>
  </si>
  <si>
    <t>thomasdasilvadominguest@gmail.com</t>
  </si>
  <si>
    <t>Radjef, Nazim</t>
  </si>
  <si>
    <t>WILFRID-PELLETIER BLVD</t>
  </si>
  <si>
    <t>H1K1L5</t>
  </si>
  <si>
    <t>nazimradjef97@gmail.com</t>
  </si>
  <si>
    <t>Toupin, Aurélie</t>
  </si>
  <si>
    <t>RUE DE FERRÉOL</t>
  </si>
  <si>
    <t>aurelie.toupin10@gmail.com</t>
  </si>
  <si>
    <t>Pelletier, Eknaï</t>
  </si>
  <si>
    <t>GUAY</t>
  </si>
  <si>
    <t>RIPON</t>
  </si>
  <si>
    <t>J0V1V0</t>
  </si>
  <si>
    <t>eknaipelletier@hotmail.com</t>
  </si>
  <si>
    <t>Rochefort, Raphaëlle</t>
  </si>
  <si>
    <t>H1X2J4</t>
  </si>
  <si>
    <t>raphie.musique@icloud.com</t>
  </si>
  <si>
    <t>Miscione Dubuc, Valerie</t>
  </si>
  <si>
    <t>BOULEVARD PLAMONDON</t>
  </si>
  <si>
    <t>J4S1W4</t>
  </si>
  <si>
    <t>valerie.mi.du@gmail.com</t>
  </si>
  <si>
    <t>Perreault, Madeleine</t>
  </si>
  <si>
    <t>ST-ZOTIQUE EST</t>
  </si>
  <si>
    <t>H2G1G6</t>
  </si>
  <si>
    <t>mad.perr@hotmail.com</t>
  </si>
  <si>
    <t>Dufresne, Joanie</t>
  </si>
  <si>
    <t>CHEMIN D'ADAMSVILLE</t>
  </si>
  <si>
    <t>BROMONT</t>
  </si>
  <si>
    <t>J2L2Z3</t>
  </si>
  <si>
    <t>joanie.dufresne@gmail.com</t>
  </si>
  <si>
    <t>Bertrand, Kwame</t>
  </si>
  <si>
    <t>H1T3K4</t>
  </si>
  <si>
    <t>kwamebertrand22@gmail.com</t>
  </si>
  <si>
    <t>Riendeau, Elysa</t>
  </si>
  <si>
    <t>elysa_riendeau@outlook.com</t>
  </si>
  <si>
    <t>Deverze, Kimberly</t>
  </si>
  <si>
    <t>kimberlydeverze@icloud.com</t>
  </si>
  <si>
    <t>Maiwada, Abdul-Majid Ahmed</t>
  </si>
  <si>
    <t>RUE DUTRISAC</t>
  </si>
  <si>
    <t>H4L4J6</t>
  </si>
  <si>
    <t>amajid2918@gmail.com</t>
  </si>
  <si>
    <t>Couture, Myriane</t>
  </si>
  <si>
    <t>RUE DU SACRÉ COEUR</t>
  </si>
  <si>
    <t>J5Z1W9</t>
  </si>
  <si>
    <t>flocondeneige91@hotmail.com</t>
  </si>
  <si>
    <t>El Benna, Maha</t>
  </si>
  <si>
    <t>H1S2N8</t>
  </si>
  <si>
    <t>m.elbenna2019@gmail.com</t>
  </si>
  <si>
    <t>Ibnzakour, Meryem</t>
  </si>
  <si>
    <t>RUE BONAPARTE</t>
  </si>
  <si>
    <t>J5Z4K5</t>
  </si>
  <si>
    <t>meryembnzakour@gmail.com</t>
  </si>
  <si>
    <t>Lafrance-Bolduc, Abigaelle</t>
  </si>
  <si>
    <t>AVENUE SAINT LUC</t>
  </si>
  <si>
    <t>J7K3A1</t>
  </si>
  <si>
    <t>lafranceabigaelle87@gmail.com</t>
  </si>
  <si>
    <t>H1T1C7</t>
  </si>
  <si>
    <t>Fillion, Alyce</t>
  </si>
  <si>
    <t>ROUTE 132 EST</t>
  </si>
  <si>
    <t>SAINT-MOÏSE</t>
  </si>
  <si>
    <t>G0J2Z0</t>
  </si>
  <si>
    <t>alycefil14@gmail.com</t>
  </si>
  <si>
    <t>Vilmé, Emmanuel Derby</t>
  </si>
  <si>
    <t>emmanuelderbyvilme@gmail.com</t>
  </si>
  <si>
    <t>Courchesne, Cédric</t>
  </si>
  <si>
    <t>MIGNAULT</t>
  </si>
  <si>
    <t>H1M1Y9</t>
  </si>
  <si>
    <t>courchesne.cedric@gmail.com</t>
  </si>
  <si>
    <t>Amorteba, Yasmina</t>
  </si>
  <si>
    <t>H1Z3C6</t>
  </si>
  <si>
    <t>amortebayasmina@gmail.com</t>
  </si>
  <si>
    <t>Charland, Marie-Josée</t>
  </si>
  <si>
    <t>ANGRIGNON BLVD</t>
  </si>
  <si>
    <t>H8N0J2</t>
  </si>
  <si>
    <t>majocharland@gmail.com</t>
  </si>
  <si>
    <t>Raymond, Catherine</t>
  </si>
  <si>
    <t>RUE COUSINEAU</t>
  </si>
  <si>
    <t>J5Y3L5</t>
  </si>
  <si>
    <t>catouray99@hotmail.com</t>
  </si>
  <si>
    <t>Charles, Mirka</t>
  </si>
  <si>
    <t>CH ABERCROMBIE</t>
  </si>
  <si>
    <t>J5J2R4</t>
  </si>
  <si>
    <t>mirkacharles18@icloud.com</t>
  </si>
  <si>
    <t>Darsigny, Anna</t>
  </si>
  <si>
    <t>AVENUE T.-D.-BOUCHARD</t>
  </si>
  <si>
    <t>J2S7N9</t>
  </si>
  <si>
    <t>anna.darsigny@hotmail.fr</t>
  </si>
  <si>
    <t>Lajoie, Mélodie</t>
  </si>
  <si>
    <t>RUE ROLLET</t>
  </si>
  <si>
    <t>J5Y3M8</t>
  </si>
  <si>
    <t>lajoime@gmail.com</t>
  </si>
  <si>
    <t>Emile, Metz Bonnard N</t>
  </si>
  <si>
    <t>AVENUE D'ANVERS</t>
  </si>
  <si>
    <t>H3N1E4</t>
  </si>
  <si>
    <t>bonnardy@hotmail.com</t>
  </si>
  <si>
    <t>Dambreville, Camille</t>
  </si>
  <si>
    <t>PLACE DEAUVILLE</t>
  </si>
  <si>
    <t>J7K3Z7</t>
  </si>
  <si>
    <t>mickeyd.fresh@gmail.com</t>
  </si>
  <si>
    <t>Arcand Lawlor, Matisse</t>
  </si>
  <si>
    <t>H2B1W9</t>
  </si>
  <si>
    <t>matisseal@icloud.com</t>
  </si>
  <si>
    <t>Le, Thi Ngoc Han</t>
  </si>
  <si>
    <t>H1X2K9</t>
  </si>
  <si>
    <t>hanltn56kt@gmail.com</t>
  </si>
  <si>
    <t>Beaudoin, Rose</t>
  </si>
  <si>
    <t>H1X2T2</t>
  </si>
  <si>
    <t>rosebeaudoin26@gmail.com</t>
  </si>
  <si>
    <t>Sylvestre, Émilie</t>
  </si>
  <si>
    <t>DE LA DURANTAYE</t>
  </si>
  <si>
    <t>J7Z2T6</t>
  </si>
  <si>
    <t>sylvestremilie@gmail.com</t>
  </si>
  <si>
    <t>Chaouadi, Anaïs</t>
  </si>
  <si>
    <t>AVENUE DES ANGEVINS</t>
  </si>
  <si>
    <t>ana.chaoua@gmail.com</t>
  </si>
  <si>
    <t>Cadet, Darryl</t>
  </si>
  <si>
    <t>RUE DES PRAIRIES</t>
  </si>
  <si>
    <t>H2B2K7</t>
  </si>
  <si>
    <t>cadetdarryl539@gmail.com</t>
  </si>
  <si>
    <t>Tejaxun Braggio, Litzuli Malena</t>
  </si>
  <si>
    <t>RUE DISRAELI</t>
  </si>
  <si>
    <t>H2K4N4</t>
  </si>
  <si>
    <t>braggiolena@gmail.com</t>
  </si>
  <si>
    <t>Masiyi, Fanny</t>
  </si>
  <si>
    <t>J4L4C7</t>
  </si>
  <si>
    <t>fannymasiyi@gmail.com</t>
  </si>
  <si>
    <t>Aichour, Alae</t>
  </si>
  <si>
    <t>RUE LYALL</t>
  </si>
  <si>
    <t>H1N3G7</t>
  </si>
  <si>
    <t>alaeaichour21@gmail.com</t>
  </si>
  <si>
    <t>Youssef, Selim</t>
  </si>
  <si>
    <t>H1W1X6</t>
  </si>
  <si>
    <t>selimhyoussef@gmail.com</t>
  </si>
  <si>
    <t>Lebeau, Elise</t>
  </si>
  <si>
    <t>BOULEVARD 6E</t>
  </si>
  <si>
    <t>TERRASSE-VAUDREUIL</t>
  </si>
  <si>
    <t>J7V8W8</t>
  </si>
  <si>
    <t>elise.lebeau@gmail.com</t>
  </si>
  <si>
    <t>Rodier, Alexandra</t>
  </si>
  <si>
    <t>RUE DE ROUEN</t>
  </si>
  <si>
    <t>H1W1L8</t>
  </si>
  <si>
    <t>alexandra.rodier@hotmail.com</t>
  </si>
  <si>
    <t>Lepage-Poirier, Maude</t>
  </si>
  <si>
    <t>RUE SHEPPARD</t>
  </si>
  <si>
    <t>H2K3L1</t>
  </si>
  <si>
    <t>eduamibizarr@hotmail.com</t>
  </si>
  <si>
    <t>Déjala, Néhémie</t>
  </si>
  <si>
    <t>H1E1Z2</t>
  </si>
  <si>
    <t>nehemiedejala@hotmail.com</t>
  </si>
  <si>
    <t>Wang, Jing</t>
  </si>
  <si>
    <t>H8N1Y7</t>
  </si>
  <si>
    <t>wangjing5146627367@gmail.com</t>
  </si>
  <si>
    <t>Romondt, Pierre Rudley</t>
  </si>
  <si>
    <t>55E AVENUE</t>
  </si>
  <si>
    <t>H1E2K4</t>
  </si>
  <si>
    <t>pierrerudleyromondt@gmail.com</t>
  </si>
  <si>
    <t>Cabella, Léo</t>
  </si>
  <si>
    <t>RUE DORION</t>
  </si>
  <si>
    <t>H2K4B2</t>
  </si>
  <si>
    <t>leocabella@gmail.com</t>
  </si>
  <si>
    <t>Bureau Libercier, Camille</t>
  </si>
  <si>
    <t>H2E2L8</t>
  </si>
  <si>
    <t>camillecbl34@gmail.com</t>
  </si>
  <si>
    <t>Dellien, Joseph Dagnely</t>
  </si>
  <si>
    <t>RUE SACRÉ COEUR</t>
  </si>
  <si>
    <t>J4L1A8</t>
  </si>
  <si>
    <t>jdell8902@gmail.com</t>
  </si>
  <si>
    <t>Saint Louis, Pierre Ronald</t>
  </si>
  <si>
    <t>H1R2T2</t>
  </si>
  <si>
    <t>topnaldou1@yahoo.fr</t>
  </si>
  <si>
    <t>Safeer, Muhammad Amama</t>
  </si>
  <si>
    <t>H2G2Y7</t>
  </si>
  <si>
    <t>momo.safir3@gmail.com</t>
  </si>
  <si>
    <t>Louis, Jameseins</t>
  </si>
  <si>
    <t>CHURCHILL</t>
  </si>
  <si>
    <t>J5Y3P6</t>
  </si>
  <si>
    <t>jameseinsl@gmail.com</t>
  </si>
  <si>
    <t>Zhou, Nolan</t>
  </si>
  <si>
    <t>H1Z2W2</t>
  </si>
  <si>
    <t>lighttul2006@gmail.com</t>
  </si>
  <si>
    <t>El Kasmi, Kawtar</t>
  </si>
  <si>
    <t>AVENUE DE CANDES</t>
  </si>
  <si>
    <t>kawtarelkasmi@gmail.com</t>
  </si>
  <si>
    <t>El Kinani, Mohamed Amine</t>
  </si>
  <si>
    <t>J6A7X3</t>
  </si>
  <si>
    <t>amine.elkinani212@gmail.com</t>
  </si>
  <si>
    <t>Guizol, Sarah</t>
  </si>
  <si>
    <t>CANORA</t>
  </si>
  <si>
    <t>H3P2H9</t>
  </si>
  <si>
    <t>sabecha50@gmail.com</t>
  </si>
  <si>
    <t>Lazorskyy, Oleksandr</t>
  </si>
  <si>
    <t>H3E1G1</t>
  </si>
  <si>
    <t>lazorskijs@gmail.com</t>
  </si>
  <si>
    <t>Desrosiers, Guy-Leocardy</t>
  </si>
  <si>
    <t>BOUL LÉVESQUE EST</t>
  </si>
  <si>
    <t>H7G1E7</t>
  </si>
  <si>
    <t>ddarlyne2005@yahoo.fr</t>
  </si>
  <si>
    <t>Bouaziz, Belkis</t>
  </si>
  <si>
    <t>14E AV</t>
  </si>
  <si>
    <t>H8S3L3</t>
  </si>
  <si>
    <t>belkistns@gmail.com</t>
  </si>
  <si>
    <t>Rahmani, Rayan</t>
  </si>
  <si>
    <t>AVENUE COOLBROOK</t>
  </si>
  <si>
    <t>H3X2L8</t>
  </si>
  <si>
    <t>rahmanirayan24@gmail.com</t>
  </si>
  <si>
    <t>Touati, Abdelkader Ilyes</t>
  </si>
  <si>
    <t>H1H4J3</t>
  </si>
  <si>
    <t>abdeltouati17@hotmail.com</t>
  </si>
  <si>
    <t>Benkheda, Sabrina</t>
  </si>
  <si>
    <t>H2T1R2</t>
  </si>
  <si>
    <t>sabrimtl410@gmail.com</t>
  </si>
  <si>
    <t>Hamdi, Mustapha</t>
  </si>
  <si>
    <t>RUE DE MÉRIEL</t>
  </si>
  <si>
    <t>H1P2X1</t>
  </si>
  <si>
    <t>mustaphahamdi16@gmail.com</t>
  </si>
  <si>
    <t>Rekkaa, Yasmine</t>
  </si>
  <si>
    <t>H2G2P4</t>
  </si>
  <si>
    <t>yasminer2@hotmail.com</t>
  </si>
  <si>
    <t>Belambri, Noureddine</t>
  </si>
  <si>
    <t>belambrin@edu.cspi.qc.ca</t>
  </si>
  <si>
    <t>Albert, Larissa</t>
  </si>
  <si>
    <t>H1M2Z5</t>
  </si>
  <si>
    <t>larissaalbert@icloud.com</t>
  </si>
  <si>
    <t>Singh, Hardeep</t>
  </si>
  <si>
    <t>H2N1X3</t>
  </si>
  <si>
    <t>hardepsingh80@gmail.com</t>
  </si>
  <si>
    <t>Thibodeau, Léopol</t>
  </si>
  <si>
    <t>H2K3A5</t>
  </si>
  <si>
    <t>leopolthibodeau@icloud.com</t>
  </si>
  <si>
    <t>Mbarek, Imene</t>
  </si>
  <si>
    <t>imenembarek7@gmail.com</t>
  </si>
  <si>
    <t>H3N2S4</t>
  </si>
  <si>
    <t>Cugnet Cointe, Louca</t>
  </si>
  <si>
    <t>H2G2S9</t>
  </si>
  <si>
    <t>louca.cc26@gmail.com</t>
  </si>
  <si>
    <t>Farhat, Kayel</t>
  </si>
  <si>
    <t>AVENUE MELVILLE</t>
  </si>
  <si>
    <t>H3Z2J5</t>
  </si>
  <si>
    <t>kayelfch@gmail.com</t>
  </si>
  <si>
    <t>Qiao, Paul</t>
  </si>
  <si>
    <t>H2A2E1</t>
  </si>
  <si>
    <t>paulqiao31@gmail.com</t>
  </si>
  <si>
    <t>Charles, Kyanna</t>
  </si>
  <si>
    <t>14 AVENUE SAINT-MICHEL</t>
  </si>
  <si>
    <t>H1Z3M6</t>
  </si>
  <si>
    <t>kyannach@gmail.com</t>
  </si>
  <si>
    <t>Tchabo, Lucas Jiomo</t>
  </si>
  <si>
    <t>RUE JOSEPH-MANSEAU</t>
  </si>
  <si>
    <t>H3H0A8</t>
  </si>
  <si>
    <t>lucastchabo41@gmail.com</t>
  </si>
  <si>
    <t>Dib, Haïthem</t>
  </si>
  <si>
    <t>haithemdb@hotmail.com</t>
  </si>
  <si>
    <t>Larbi, Sarah</t>
  </si>
  <si>
    <t>H2A3K6</t>
  </si>
  <si>
    <t>sarahlarbi368@gmail.com</t>
  </si>
  <si>
    <t>H1M2H7</t>
  </si>
  <si>
    <t>Pierre, Dieuvenie Kelida</t>
  </si>
  <si>
    <t>keyda.pierre@gmail.com</t>
  </si>
  <si>
    <t>Colangelo-Fuette, Jesse</t>
  </si>
  <si>
    <t>RUE LIÉBERT</t>
  </si>
  <si>
    <t>H1L5P9</t>
  </si>
  <si>
    <t>jessecolangelofuette@gmail.com</t>
  </si>
  <si>
    <t>Boutet, Jérémie</t>
  </si>
  <si>
    <t>H1T0A4</t>
  </si>
  <si>
    <t>a.jeremie.boutet@gmail.com</t>
  </si>
  <si>
    <t>Dibakto Nsenga, Nadine</t>
  </si>
  <si>
    <t>RUE ANDRÉ-JOBIN</t>
  </si>
  <si>
    <t>H2B2W1</t>
  </si>
  <si>
    <t>n.dibaktonsenga@yahoo.com</t>
  </si>
  <si>
    <t>Sylla, Mabinty</t>
  </si>
  <si>
    <t>RUE J J GAGNIER</t>
  </si>
  <si>
    <t>H1Z3C7</t>
  </si>
  <si>
    <t>mabintysylla806@gmail.com</t>
  </si>
  <si>
    <t>Andriot, Ethan</t>
  </si>
  <si>
    <t>H3P2T3</t>
  </si>
  <si>
    <t>andriotethan@gmail.com</t>
  </si>
  <si>
    <t>Gaviria, Samuel Alejandr</t>
  </si>
  <si>
    <t>gaviriassamuel@gmail.com</t>
  </si>
  <si>
    <t>Ismail, Hussein</t>
  </si>
  <si>
    <t>RUE DE ROTTERDAM</t>
  </si>
  <si>
    <t>H7M1L8</t>
  </si>
  <si>
    <t>husseinismail4223@gmail.com</t>
  </si>
  <si>
    <t>Trudel, Alexis</t>
  </si>
  <si>
    <t>H7P3Z6</t>
  </si>
  <si>
    <t>alexis29trudel@gmail.com</t>
  </si>
  <si>
    <t>Charland Rivard, Manu</t>
  </si>
  <si>
    <t>H2S2M6</t>
  </si>
  <si>
    <t>manu.charlandrivard@gmail.com</t>
  </si>
  <si>
    <t>Lemire-Aguiar, Anthony</t>
  </si>
  <si>
    <t>RUE DU BLIZZARD</t>
  </si>
  <si>
    <t>SAINTE-MARTHE-SUR-LE-LAC</t>
  </si>
  <si>
    <t>J0N1P0</t>
  </si>
  <si>
    <t>aguiar.anthony@videotron.ca</t>
  </si>
  <si>
    <t>Esinyade, Gabriel Oghenerhona</t>
  </si>
  <si>
    <t>BOULEVARD ROLLAND</t>
  </si>
  <si>
    <t>H1G6C5</t>
  </si>
  <si>
    <t>esinyadegabriel@gmail.com</t>
  </si>
  <si>
    <t>Poquet, Capucine</t>
  </si>
  <si>
    <t>1416 RUE SAINT CLÉMENT</t>
  </si>
  <si>
    <t>H1V3E2</t>
  </si>
  <si>
    <t>capucine.poquet@icloud.com</t>
  </si>
  <si>
    <t>Quintero Buitrago, Lukas Slach</t>
  </si>
  <si>
    <t>BOULEVARD DE LA COTE-VERTU</t>
  </si>
  <si>
    <t>H4N1E1</t>
  </si>
  <si>
    <t>lukquin12@gmail.com</t>
  </si>
  <si>
    <t>Beaudry-Dupuis, Arnaud</t>
  </si>
  <si>
    <t>H2S3A9</t>
  </si>
  <si>
    <t>arnaudbeaudrydupuis@gmail.com</t>
  </si>
  <si>
    <t>Mouhsine, Ilyas</t>
  </si>
  <si>
    <t>AVENUE SAINT DONAT</t>
  </si>
  <si>
    <t>H1K3P4</t>
  </si>
  <si>
    <t>ilyas0605@outlook.com</t>
  </si>
  <si>
    <t>Diaz Blanco, Kimberley Maria</t>
  </si>
  <si>
    <t>RUE DES SOURCES</t>
  </si>
  <si>
    <t>J8V1C6</t>
  </si>
  <si>
    <t>kim.dargy@yahoo.com</t>
  </si>
  <si>
    <t>Leblanc Berthil, Vinelle</t>
  </si>
  <si>
    <t>RUE DU COLOMBIER</t>
  </si>
  <si>
    <t>H1B3B5</t>
  </si>
  <si>
    <t>vinelle25@ymail.com</t>
  </si>
  <si>
    <t>Rahman, Farhan</t>
  </si>
  <si>
    <t>H1Z4K5</t>
  </si>
  <si>
    <t>farhanrahman@myyahoo.com</t>
  </si>
  <si>
    <t>Ndonfak, Dieudonné Hervé</t>
  </si>
  <si>
    <t>H2A2N4</t>
  </si>
  <si>
    <t>ndonfakprince@gmail.com</t>
  </si>
  <si>
    <t>Rahman, Nihal</t>
  </si>
  <si>
    <t>rahman272006@gmail.com</t>
  </si>
  <si>
    <t>Hueichapan-Thor, Samuel</t>
  </si>
  <si>
    <t>ARCHAMBAULT</t>
  </si>
  <si>
    <t>J5Z1Z8</t>
  </si>
  <si>
    <t>hsamuelt2018@gmail.com</t>
  </si>
  <si>
    <t>Labbé, Noémie</t>
  </si>
  <si>
    <t>H1L5H6</t>
  </si>
  <si>
    <t>noemie16bleu@gmail.com</t>
  </si>
  <si>
    <t>Jahangir, Daoud</t>
  </si>
  <si>
    <t>H3N2T9</t>
  </si>
  <si>
    <t>daoudj2006@gmail.com</t>
  </si>
  <si>
    <t>Hammad, Mohamed</t>
  </si>
  <si>
    <t>RUE MUGUET</t>
  </si>
  <si>
    <t>H7X1B4</t>
  </si>
  <si>
    <t>m.hammadmohamed@gmail.com</t>
  </si>
  <si>
    <t>Sanogo, Mawata</t>
  </si>
  <si>
    <t>RUE DE LOUVAIN EST</t>
  </si>
  <si>
    <t>H1Z1J6</t>
  </si>
  <si>
    <t>sanogomawata040@gmail.com</t>
  </si>
  <si>
    <t>Diogène, Eliazar</t>
  </si>
  <si>
    <t>RUE VILLENEUVE</t>
  </si>
  <si>
    <t>H1G1M3</t>
  </si>
  <si>
    <t>diogeneeliazar@gmail.com</t>
  </si>
  <si>
    <t>Oualy, Adelaide</t>
  </si>
  <si>
    <t>DES ROSERAIES BLVD</t>
  </si>
  <si>
    <t>H1M3B8</t>
  </si>
  <si>
    <t>jiwanya30@gmail.com</t>
  </si>
  <si>
    <t>Azami, Rohina</t>
  </si>
  <si>
    <t>razami221@gmail.com</t>
  </si>
  <si>
    <t>Baouche, Imene</t>
  </si>
  <si>
    <t>RUE DESAUTELS</t>
  </si>
  <si>
    <t>H1N3B9</t>
  </si>
  <si>
    <t>baoucheimene@icloud.com</t>
  </si>
  <si>
    <t>Yassine, Mohamad-Mahdi</t>
  </si>
  <si>
    <t>RUE CHAMPIGNY</t>
  </si>
  <si>
    <t>H4L4P8</t>
  </si>
  <si>
    <t>mcfryes@hotmail.com</t>
  </si>
  <si>
    <t>Halim, Chahd</t>
  </si>
  <si>
    <t>chahd.hal@gmail.com</t>
  </si>
  <si>
    <t>Vitko, Dmitry</t>
  </si>
  <si>
    <t>AVENUE MACDONALD</t>
  </si>
  <si>
    <t>H3X2W3</t>
  </si>
  <si>
    <t>dmitryvitko@icloud.com</t>
  </si>
  <si>
    <t>Lalonde Janik, Laurent</t>
  </si>
  <si>
    <t>LASALLE BLVD</t>
  </si>
  <si>
    <t>H4H1R1</t>
  </si>
  <si>
    <t>frewbay@gmail.com</t>
  </si>
  <si>
    <t>Sandeise, Treyssy</t>
  </si>
  <si>
    <t>AVENUE BILAUDEAU</t>
  </si>
  <si>
    <t>H1L4B1</t>
  </si>
  <si>
    <t>treyssysandeise@gmail.com</t>
  </si>
  <si>
    <t>Aklil, Mohamed</t>
  </si>
  <si>
    <t>H1H4Y1</t>
  </si>
  <si>
    <t>mohamedaklil78@gmail.com</t>
  </si>
  <si>
    <t>Fabella, Krissel</t>
  </si>
  <si>
    <t>RUE DE LA PELTRIE</t>
  </si>
  <si>
    <t>H3S1V2</t>
  </si>
  <si>
    <t>krissel4fab@gmail.com</t>
  </si>
  <si>
    <t>Sidibe, Abdul Aziz Elias</t>
  </si>
  <si>
    <t>RUE BILLERON</t>
  </si>
  <si>
    <t>H4R1L5</t>
  </si>
  <si>
    <t>Eliassidibepro@gmail.com</t>
  </si>
  <si>
    <t>Socorro Garcia, Jose Alberdi</t>
  </si>
  <si>
    <t>H1M2S7</t>
  </si>
  <si>
    <t>jarickg1@gmail.com</t>
  </si>
  <si>
    <t>Fontus, Donaïda Alie Anaëlle</t>
  </si>
  <si>
    <t>H1R3M4</t>
  </si>
  <si>
    <t>donaidafontus@gmail.com</t>
  </si>
  <si>
    <t>Champagne-Hinojosa, Évelyne</t>
  </si>
  <si>
    <t>RUE LEROUX</t>
  </si>
  <si>
    <t>H8R3V7</t>
  </si>
  <si>
    <t>eve.champ@hotmail.com</t>
  </si>
  <si>
    <t>Jalbert, Alexandre</t>
  </si>
  <si>
    <t>RUE ALFRED-PELLAN</t>
  </si>
  <si>
    <t>J6Y1T6</t>
  </si>
  <si>
    <t>Jalbert.a@outlook.com</t>
  </si>
  <si>
    <t>Orantes Ly, Jenny Linh</t>
  </si>
  <si>
    <t>H2A2T3</t>
  </si>
  <si>
    <t>fredyorantes@icloud.com</t>
  </si>
  <si>
    <t>Mendoza Montiel, Ricardo Joaquin</t>
  </si>
  <si>
    <t>H4L3N1</t>
  </si>
  <si>
    <t>ricardo.mendozza88@gmail.com</t>
  </si>
  <si>
    <t>Philippe, Thashinah</t>
  </si>
  <si>
    <t>AVENUE HENRI DE SALIÈRES</t>
  </si>
  <si>
    <t>MONTRES</t>
  </si>
  <si>
    <t>thashinahphilippe@gmail.com</t>
  </si>
  <si>
    <t>Nkanza, Patrick</t>
  </si>
  <si>
    <t>AVENUE DE LA NANTAISE</t>
  </si>
  <si>
    <t>H1M1B4</t>
  </si>
  <si>
    <t>patricknkanzaa@gmail.com</t>
  </si>
  <si>
    <t>Berkani, Smail</t>
  </si>
  <si>
    <t>Sma1234ber@outlook.com</t>
  </si>
  <si>
    <t>Briak, Wissal</t>
  </si>
  <si>
    <t>RUE ALBANEL</t>
  </si>
  <si>
    <t>H1P2K9</t>
  </si>
  <si>
    <t>wbriak@gmail.com</t>
  </si>
  <si>
    <t>Dahan, Rivkah</t>
  </si>
  <si>
    <t>rivka2640@gmail.com</t>
  </si>
  <si>
    <t>Clouston, Stéphanie</t>
  </si>
  <si>
    <t>stephaniecloustondocs@gmail.com</t>
  </si>
  <si>
    <t>Vertus, Medjilone</t>
  </si>
  <si>
    <t>H1R3C3</t>
  </si>
  <si>
    <t>medjiloves@gmail.com</t>
  </si>
  <si>
    <t>Maouchi, Abdeladim</t>
  </si>
  <si>
    <t>H2M1Z8</t>
  </si>
  <si>
    <t>ma.abdel13@gmail.com</t>
  </si>
  <si>
    <t>Meunier, Ashleigh Daune</t>
  </si>
  <si>
    <t>H1A5P5</t>
  </si>
  <si>
    <t>ashleighdaune06@icloud.com</t>
  </si>
  <si>
    <t>Midy, Maximus Hantz Lence</t>
  </si>
  <si>
    <t>AVENUE RACETTE</t>
  </si>
  <si>
    <t>H1G5H7</t>
  </si>
  <si>
    <t>maximusmidy2005@gmail.com</t>
  </si>
  <si>
    <t>Mashipu, Louise Marie</t>
  </si>
  <si>
    <t>RUE EMILE YELLE</t>
  </si>
  <si>
    <t>H2M1L1</t>
  </si>
  <si>
    <t>louisemariemashipu@gmail.com</t>
  </si>
  <si>
    <t>Pereyra Quinteros, Franco Joel</t>
  </si>
  <si>
    <t>francopereyraq@gmail.com</t>
  </si>
  <si>
    <t>Trieu, Maryse</t>
  </si>
  <si>
    <t>maryse_trieu@hotmail.fr</t>
  </si>
  <si>
    <t>Le Tual, Anne-Marie</t>
  </si>
  <si>
    <t>9E AV</t>
  </si>
  <si>
    <t>H1Y2J5</t>
  </si>
  <si>
    <t>amletual@hotmail.com</t>
  </si>
  <si>
    <t>Charette, Camille</t>
  </si>
  <si>
    <t>RUE DE SAINT-FIRMIN</t>
  </si>
  <si>
    <t>H2B2G6</t>
  </si>
  <si>
    <t>mimille1212@icloud.com</t>
  </si>
  <si>
    <t>Laribi, Rayane</t>
  </si>
  <si>
    <t>RUE SAINT-ANDRÉ</t>
  </si>
  <si>
    <t>H2L3W2</t>
  </si>
  <si>
    <t>rayanelaribi18@gmail.com</t>
  </si>
  <si>
    <t>Dignard, Maya</t>
  </si>
  <si>
    <t>BOULEVARD DE LA SALETTE</t>
  </si>
  <si>
    <t>J5L1H7</t>
  </si>
  <si>
    <t>maya.dignard@gmail.com</t>
  </si>
  <si>
    <t>Bouguenna, Mayalen</t>
  </si>
  <si>
    <t>RUE DE COULANGES</t>
  </si>
  <si>
    <t>H1P2P3</t>
  </si>
  <si>
    <t>bouguennam2004@gmail.com</t>
  </si>
  <si>
    <t>Martel, Océane</t>
  </si>
  <si>
    <t>BOUL DE CHENONCEAU</t>
  </si>
  <si>
    <t>H7T0B2</t>
  </si>
  <si>
    <t>oceaneperso@outlook.com</t>
  </si>
  <si>
    <t>Mohmli, Nessim</t>
  </si>
  <si>
    <t>H3S1S4</t>
  </si>
  <si>
    <t>adamfmbr@gmail.com</t>
  </si>
  <si>
    <t>Lapointe, Célestin</t>
  </si>
  <si>
    <t>H2H2B3</t>
  </si>
  <si>
    <t>cel.lap@icloud.com</t>
  </si>
  <si>
    <t>Mejia Gonzales, Frida</t>
  </si>
  <si>
    <t>RUE MARCEL</t>
  </si>
  <si>
    <t>H4R1B1</t>
  </si>
  <si>
    <t>estefaniamejia.gf@icloud.com</t>
  </si>
  <si>
    <t>Lahlou, Sara</t>
  </si>
  <si>
    <t>H1Z4G9</t>
  </si>
  <si>
    <t>lahlousara446@gmail.com</t>
  </si>
  <si>
    <t>Al-Rawash, Albara'</t>
  </si>
  <si>
    <t>AVENUE PIERRE-DE COUBERTIN</t>
  </si>
  <si>
    <t>H1N1S6</t>
  </si>
  <si>
    <t>albaramohd@hotmail.com</t>
  </si>
  <si>
    <t>Avila Diaz, Kimberly</t>
  </si>
  <si>
    <t>30 AVENUE</t>
  </si>
  <si>
    <t>H1T3G8</t>
  </si>
  <si>
    <t>yamidiaz456@gmail.com</t>
  </si>
  <si>
    <t>Joseph, Benjamin</t>
  </si>
  <si>
    <t>H1Z4A2</t>
  </si>
  <si>
    <t>josephisemenordbenjamin@gmail.com</t>
  </si>
  <si>
    <t>Bchir, Mohamed Amine</t>
  </si>
  <si>
    <t>RUE DU COLLÈGE</t>
  </si>
  <si>
    <t>H4L2M7</t>
  </si>
  <si>
    <t>aminebchir2069@gmail.com</t>
  </si>
  <si>
    <t>Kahozi, Yohane</t>
  </si>
  <si>
    <t>TERRASSE JACQUES-LÉONARD</t>
  </si>
  <si>
    <t>yokahozi@gmail.com</t>
  </si>
  <si>
    <t>Jenkins, Christine</t>
  </si>
  <si>
    <t>RUE SAINT-ÉTIENNE</t>
  </si>
  <si>
    <t>SAINTE-ANNE-DE-BELLEVUE</t>
  </si>
  <si>
    <t>H9X1G2</t>
  </si>
  <si>
    <t>ladydream_7676@hotmail.com</t>
  </si>
  <si>
    <t>Kaboré, Sandrine</t>
  </si>
  <si>
    <t>RUE DE CHAMONIX</t>
  </si>
  <si>
    <t>H4R3B7</t>
  </si>
  <si>
    <t>sandynsk_00026@yahoo.fr</t>
  </si>
  <si>
    <t>Quezada-Sanchez, Carlos</t>
  </si>
  <si>
    <t>H3J2G7</t>
  </si>
  <si>
    <t>carlosmanuel15@live.fr</t>
  </si>
  <si>
    <t>Ramdani, Adam</t>
  </si>
  <si>
    <t>AVENUE TRENHOLME</t>
  </si>
  <si>
    <t>H4V1Y4</t>
  </si>
  <si>
    <t>adamramdani15@gmail.com</t>
  </si>
  <si>
    <t>Vinci, Kelly-Ann</t>
  </si>
  <si>
    <t>H2A2W2</t>
  </si>
  <si>
    <t>vincilkmv@gmail.com</t>
  </si>
  <si>
    <t>Meyer, Aaron</t>
  </si>
  <si>
    <t>rmeyer881@gmail.com</t>
  </si>
  <si>
    <t>Ostiguy, Charlotte</t>
  </si>
  <si>
    <t>charlotte.ostiguy@icloud.com</t>
  </si>
  <si>
    <t>Butt, Azan</t>
  </si>
  <si>
    <t>RUE SAINT-ROCH</t>
  </si>
  <si>
    <t>H3N1K7</t>
  </si>
  <si>
    <t>azanbutt393@gmail.com</t>
  </si>
  <si>
    <t>Patel, Miten</t>
  </si>
  <si>
    <t>H2N1V1</t>
  </si>
  <si>
    <t>miten.p292@gmail.com</t>
  </si>
  <si>
    <t>Brousseau, Frédérick</t>
  </si>
  <si>
    <t>AVENUE OSCAR</t>
  </si>
  <si>
    <t>H1H5J9</t>
  </si>
  <si>
    <t>fredob22@gmail.com</t>
  </si>
  <si>
    <t>Clergeau, Bradley</t>
  </si>
  <si>
    <t>AVENUE L'ARCHEVÊQUE</t>
  </si>
  <si>
    <t>H1H3A6</t>
  </si>
  <si>
    <t>bradleyclergeau@hotmail.com</t>
  </si>
  <si>
    <t>Bouchard, Nathan</t>
  </si>
  <si>
    <t>AVENUE DE CARIGNAN</t>
  </si>
  <si>
    <t>H1M2H3</t>
  </si>
  <si>
    <t>nathan.nbouchard@gmail.com</t>
  </si>
  <si>
    <t>Rabines-Angulo, Carolina</t>
  </si>
  <si>
    <t>RUE OVILA-FORGET</t>
  </si>
  <si>
    <t>J7R6Z3</t>
  </si>
  <si>
    <t>Carolinarabines0404@gmail.com</t>
  </si>
  <si>
    <t>Eloi, Dorian Paul</t>
  </si>
  <si>
    <t>PLACE VERDELLES</t>
  </si>
  <si>
    <t>H1K1M9</t>
  </si>
  <si>
    <t>bawsdorian@gmail.com</t>
  </si>
  <si>
    <t>Allaire, Yoan</t>
  </si>
  <si>
    <t>50E AV</t>
  </si>
  <si>
    <t>H1A2W8</t>
  </si>
  <si>
    <t>allaireyoan58@gmail.com</t>
  </si>
  <si>
    <t>Zamoum, Soheib</t>
  </si>
  <si>
    <t>H4J1G4</t>
  </si>
  <si>
    <t>zasoso121212@gmail.com</t>
  </si>
  <si>
    <t>Côté, Marilou</t>
  </si>
  <si>
    <t>marilou.b.cote@gmail.com</t>
  </si>
  <si>
    <t>Akif, Hamza</t>
  </si>
  <si>
    <t>H1T3T1</t>
  </si>
  <si>
    <t>hamzakif24@hotmail.com</t>
  </si>
  <si>
    <t>Maxi, Andrew</t>
  </si>
  <si>
    <t>H1R1P6</t>
  </si>
  <si>
    <t>andrewbaws123@gmail.com</t>
  </si>
  <si>
    <t>Deziel, Victoria</t>
  </si>
  <si>
    <t>92E AV</t>
  </si>
  <si>
    <t>H1A2G2</t>
  </si>
  <si>
    <t>deziel.victoria@icloud.com</t>
  </si>
  <si>
    <t>Bergeron, William</t>
  </si>
  <si>
    <t>RUE PELCHAT</t>
  </si>
  <si>
    <t>H7K2V3</t>
  </si>
  <si>
    <t>williambergeron@icloud.com</t>
  </si>
  <si>
    <t>Chiu, Angela</t>
  </si>
  <si>
    <t>H1Z3P2</t>
  </si>
  <si>
    <t>angelachiu17@hotmail.com</t>
  </si>
  <si>
    <t>Rezig, Ines</t>
  </si>
  <si>
    <t>inesinou21@gmail.com</t>
  </si>
  <si>
    <t>Louis, Rose Cardie</t>
  </si>
  <si>
    <t>H1Z3M5</t>
  </si>
  <si>
    <t>rosecardiejean@gmail.com</t>
  </si>
  <si>
    <t>Youssef, Hussein</t>
  </si>
  <si>
    <t>H3S1G3</t>
  </si>
  <si>
    <t>husein.yousef03@gmail.com</t>
  </si>
  <si>
    <t>Ndjoli, Pie-Jack</t>
  </si>
  <si>
    <t>H1Y2Y1</t>
  </si>
  <si>
    <t>ndjolip@icloud.com</t>
  </si>
  <si>
    <t>Penda, Gabriel Desire</t>
  </si>
  <si>
    <t>AVENUE WALKLEY</t>
  </si>
  <si>
    <t>H4B2K6</t>
  </si>
  <si>
    <t>gabrielpenda1@gmail.com</t>
  </si>
  <si>
    <t>Mainville, Jean-Thomas</t>
  </si>
  <si>
    <t>RUE DES ÉPERVIERS</t>
  </si>
  <si>
    <t>J7C6A5</t>
  </si>
  <si>
    <t>jean-thomas@lesmainville.com</t>
  </si>
  <si>
    <t>Ho, Hoang Thanh Truc</t>
  </si>
  <si>
    <t>H2K2X4</t>
  </si>
  <si>
    <t>trucho.sg2004@gmail.com</t>
  </si>
  <si>
    <t>Sequig, Marianne</t>
  </si>
  <si>
    <t>RUE DE LAUSANNE</t>
  </si>
  <si>
    <t>J6X4A4</t>
  </si>
  <si>
    <t>mariannesequig366@gmail.com</t>
  </si>
  <si>
    <t>Joseph, Maily</t>
  </si>
  <si>
    <t>H1G1M5</t>
  </si>
  <si>
    <t>mailyseneval@yahoo.ca</t>
  </si>
  <si>
    <t>Do, Evinson</t>
  </si>
  <si>
    <t>AV ALFRED</t>
  </si>
  <si>
    <t>evinson.ch@gmail.com</t>
  </si>
  <si>
    <t>Rodriguez Garay, Kimberly Dariella</t>
  </si>
  <si>
    <t>H1T1Y2</t>
  </si>
  <si>
    <t>kimberlydrg1483@gmail.com</t>
  </si>
  <si>
    <t>Regaa, Nesrine</t>
  </si>
  <si>
    <t>H2E2G1</t>
  </si>
  <si>
    <t>nesrineregaa@gmail.com</t>
  </si>
  <si>
    <t>Ganongo-Po, Gessy Loïck</t>
  </si>
  <si>
    <t>ganongoloickg@gmail.com</t>
  </si>
  <si>
    <t>Boutina, Asma</t>
  </si>
  <si>
    <t>AVENUE DE CHÂTILLON</t>
  </si>
  <si>
    <t>H1K1P2</t>
  </si>
  <si>
    <t>boutinaasma1996@yahoo.com</t>
  </si>
  <si>
    <t>Paparella, Maelia</t>
  </si>
  <si>
    <t>H2L4S5</t>
  </si>
  <si>
    <t>maepaparella@gmail.com</t>
  </si>
  <si>
    <t>Baghdad, Samia</t>
  </si>
  <si>
    <t>H1K3V6</t>
  </si>
  <si>
    <t>samiabagh3@gmail.com</t>
  </si>
  <si>
    <t>Karamoko, Bouaké</t>
  </si>
  <si>
    <t>RUE LOUIS-PARÉ</t>
  </si>
  <si>
    <t>LACHINE</t>
  </si>
  <si>
    <t>H8S1K8</t>
  </si>
  <si>
    <t>bouakeka@gmail.com</t>
  </si>
  <si>
    <t>Côté, Jean François</t>
  </si>
  <si>
    <t>H2E2C3</t>
  </si>
  <si>
    <t>jfcote1976@gmail.com</t>
  </si>
  <si>
    <t>RUE DE CANNES</t>
  </si>
  <si>
    <t>Abdallah, Rabeb</t>
  </si>
  <si>
    <t>AVENUE GEORGES-PICHET</t>
  </si>
  <si>
    <t>H1G5L1</t>
  </si>
  <si>
    <t>rabeb111@hotmail.com</t>
  </si>
  <si>
    <t>Apollon, Jamil</t>
  </si>
  <si>
    <t>RODOLPHE-FORGET</t>
  </si>
  <si>
    <t>H1E4Y1</t>
  </si>
  <si>
    <t>jamilapollon47@gmail.com</t>
  </si>
  <si>
    <t>Ladidji, Mehdi</t>
  </si>
  <si>
    <t>H1R2V7</t>
  </si>
  <si>
    <t>mehdi.ladidji@gmail.com</t>
  </si>
  <si>
    <t>Estrella-Arguello, Dayanara</t>
  </si>
  <si>
    <t>AV COLOMB</t>
  </si>
  <si>
    <t>J4Z0S3</t>
  </si>
  <si>
    <t>estrellaarguellodayanara@gmail.com</t>
  </si>
  <si>
    <t>Elie, Franceska Tassiana</t>
  </si>
  <si>
    <t>H7A3Z7</t>
  </si>
  <si>
    <t>franceskaelie19@outlook.com</t>
  </si>
  <si>
    <t>Dénommé, Justin</t>
  </si>
  <si>
    <t>H7Y2E4</t>
  </si>
  <si>
    <t>justin.denomme@icloud.com</t>
  </si>
  <si>
    <t>Tung-Galeano, Bryan</t>
  </si>
  <si>
    <t>AVENUE RONDEAU</t>
  </si>
  <si>
    <t>H1K2P3</t>
  </si>
  <si>
    <t>floreslis0207@gmail.com</t>
  </si>
  <si>
    <t>Doumbia, Adja Laeticia Kady</t>
  </si>
  <si>
    <t>kadylaeticiaadjadoumbia@gmail.com</t>
  </si>
  <si>
    <t>Svergoun, Ivan</t>
  </si>
  <si>
    <t>RUE SARAH-FISCHER</t>
  </si>
  <si>
    <t>H1A5A2</t>
  </si>
  <si>
    <t>ivansvergoun@gmail.com</t>
  </si>
  <si>
    <t>Mahar, Serine Maya</t>
  </si>
  <si>
    <t>RUE DAILLON</t>
  </si>
  <si>
    <t>H1R2L6</t>
  </si>
  <si>
    <t>mayamahar@hotmail.ca</t>
  </si>
  <si>
    <t>Bonneville, Justin</t>
  </si>
  <si>
    <t>RUE GEORGES-VERMETTE</t>
  </si>
  <si>
    <t>H1A4R5</t>
  </si>
  <si>
    <t>rezidentevil70@gmail.com</t>
  </si>
  <si>
    <t>Regrag, Ikhlef Amine</t>
  </si>
  <si>
    <t>RUE JEAN CABOT</t>
  </si>
  <si>
    <t>J5Y4B4</t>
  </si>
  <si>
    <t>amine.regrag21@gmail.com</t>
  </si>
  <si>
    <t>Lo Dico, Joshua</t>
  </si>
  <si>
    <t>joshlod9211@gmail.com</t>
  </si>
  <si>
    <t>Nguyen, Dinh Lyo</t>
  </si>
  <si>
    <t>J4G1H8</t>
  </si>
  <si>
    <t>lyo.nguyen313@gmail.com</t>
  </si>
  <si>
    <t>Ben Yammi, Rayane</t>
  </si>
  <si>
    <t>H1R1P4</t>
  </si>
  <si>
    <t>rayane92@yahoo.com</t>
  </si>
  <si>
    <t>Koo Doig, Jaime Enrique</t>
  </si>
  <si>
    <t>RUE DE MIJAS</t>
  </si>
  <si>
    <t>H7M5N4</t>
  </si>
  <si>
    <t>jaime.koo.05@gmail.com</t>
  </si>
  <si>
    <t>Kacimi, Rayane</t>
  </si>
  <si>
    <t>AV DE BEAUFORT</t>
  </si>
  <si>
    <t>H1M3W4</t>
  </si>
  <si>
    <t>rkacimi6@icloud.com</t>
  </si>
  <si>
    <t>Huneault, William</t>
  </si>
  <si>
    <t>H1B4H2</t>
  </si>
  <si>
    <t>william.huneault@gmail.com</t>
  </si>
  <si>
    <t>Hammouda, Dima</t>
  </si>
  <si>
    <t>H2A2T9</t>
  </si>
  <si>
    <t>dimahammouda@hotmail.com</t>
  </si>
  <si>
    <t>Bossé, Ulysse</t>
  </si>
  <si>
    <t>H2J3G2</t>
  </si>
  <si>
    <t>ulyssebosse@hotmail.com</t>
  </si>
  <si>
    <t>Gomez-Mateo, Nayeli</t>
  </si>
  <si>
    <t>H2N1V5</t>
  </si>
  <si>
    <t>nayeligomezmateo@hotmail.com</t>
  </si>
  <si>
    <t>Etienne-Martel, Joakim</t>
  </si>
  <si>
    <t>H2J3H8</t>
  </si>
  <si>
    <t>jetiennemartel@gmail.com</t>
  </si>
  <si>
    <t>Zakaria, Dua</t>
  </si>
  <si>
    <t>H3J1E1</t>
  </si>
  <si>
    <t>duazakaria@hotmail.com</t>
  </si>
  <si>
    <t>Rémy, Jeanika</t>
  </si>
  <si>
    <t>RUE DE L'HERMITIÈRE</t>
  </si>
  <si>
    <t>J6X1X7</t>
  </si>
  <si>
    <t>rjeanika@icloud.com</t>
  </si>
  <si>
    <t>Metidji, Kynda Ines</t>
  </si>
  <si>
    <t>Inesmetidji@hotmail.com</t>
  </si>
  <si>
    <t>Franck Philip Lebel Ivo Yankam, Franck Philip Lebel Ivo</t>
  </si>
  <si>
    <t>AVENUE FLETCHER</t>
  </si>
  <si>
    <t>H1L4E3</t>
  </si>
  <si>
    <t>franckphilip45@gmail.com</t>
  </si>
  <si>
    <t>Tinh, Audrey</t>
  </si>
  <si>
    <t>IMPASSE DU CHARDONNAY</t>
  </si>
  <si>
    <t>J9H7P1</t>
  </si>
  <si>
    <t>audrey.tinh.md@gmail.com</t>
  </si>
  <si>
    <t>Belamy, Dukens</t>
  </si>
  <si>
    <t>H1B3T9</t>
  </si>
  <si>
    <t>dukensbelamy20@gmail.com</t>
  </si>
  <si>
    <t>Sadmi, Salim</t>
  </si>
  <si>
    <t>FOLLEREAU</t>
  </si>
  <si>
    <t>H1S2L3</t>
  </si>
  <si>
    <t>salimodz3@gmail.com</t>
  </si>
  <si>
    <t>Monestime, Andleyna Lexitha</t>
  </si>
  <si>
    <t>45E RUE</t>
  </si>
  <si>
    <t>H1Z1M9</t>
  </si>
  <si>
    <t>monestimelexitha@gmail.com</t>
  </si>
  <si>
    <t>Poitras, Geneviève</t>
  </si>
  <si>
    <t>H2K3R2</t>
  </si>
  <si>
    <t>genevievemp13@gmail.com</t>
  </si>
  <si>
    <t>Ben Hadj Khalifa, Rawen</t>
  </si>
  <si>
    <t>H3S1P1</t>
  </si>
  <si>
    <t>6254932@crosemont.qc.ca</t>
  </si>
  <si>
    <t>Delva, Daphnée</t>
  </si>
  <si>
    <t>RUE DE MADÈRE</t>
  </si>
  <si>
    <t>H1P3C7</t>
  </si>
  <si>
    <t>daphneedelva@outlook.com</t>
  </si>
  <si>
    <t>Plong, Nate</t>
  </si>
  <si>
    <t>AVENUE CLARENDON</t>
  </si>
  <si>
    <t>H7W4W1</t>
  </si>
  <si>
    <t>nate.pl.098@gmail.com</t>
  </si>
  <si>
    <t>Kissouna, Claudy</t>
  </si>
  <si>
    <t>c.kissouna@outlook.fr</t>
  </si>
  <si>
    <t>Geronimo Barcenes, Melissa</t>
  </si>
  <si>
    <t>RUE FAFARD</t>
  </si>
  <si>
    <t>H7T1X9</t>
  </si>
  <si>
    <t>melissageronimo2010@hotmail.com</t>
  </si>
  <si>
    <t>Douraid, Abdenour</t>
  </si>
  <si>
    <t>abdenour.douraid@gmail.com</t>
  </si>
  <si>
    <t>Costigan-Michaud, Victor</t>
  </si>
  <si>
    <t>RUE OCTAVE-CRÉMAZIE</t>
  </si>
  <si>
    <t>J4B2N4</t>
  </si>
  <si>
    <t>vcostiganmichaud@gmail.com</t>
  </si>
  <si>
    <t>Guzzo, Nikolas</t>
  </si>
  <si>
    <t>H1Y3M3</t>
  </si>
  <si>
    <t>nikoguzzo@gmail.com</t>
  </si>
  <si>
    <t>Wadestrandt, Soraya</t>
  </si>
  <si>
    <t>wadestrandt434@hotmail.fr</t>
  </si>
  <si>
    <t>RUE D'ANGORA</t>
  </si>
  <si>
    <t>Benouis, Feras</t>
  </si>
  <si>
    <t>BOULEVARD CURÉ-LABELLE</t>
  </si>
  <si>
    <t>H7V2V9</t>
  </si>
  <si>
    <t>fbenouis123@gmail.com</t>
  </si>
  <si>
    <t>Blanchette, Anisha-Rose</t>
  </si>
  <si>
    <t>RUE DE BROUAGE</t>
  </si>
  <si>
    <t>H1L3B8</t>
  </si>
  <si>
    <t>anisharoseb9@gmail.com</t>
  </si>
  <si>
    <t>Hachri, Mouad</t>
  </si>
  <si>
    <t>mouad-hach@outlook.com</t>
  </si>
  <si>
    <t>Domitian, Alexandru</t>
  </si>
  <si>
    <t>RUE LABARRE</t>
  </si>
  <si>
    <t>H4P2S5</t>
  </si>
  <si>
    <t>alexdomitian3@gmail.com</t>
  </si>
  <si>
    <t>Martinez Saldana, Luisa Catalina</t>
  </si>
  <si>
    <t>H1L4M8</t>
  </si>
  <si>
    <t>catimartinez2003@gmail.com</t>
  </si>
  <si>
    <t>Saint-Fleur, Djene S. Chrystie</t>
  </si>
  <si>
    <t>RUE DU FLORILÈGE</t>
  </si>
  <si>
    <t>J6Y2C9</t>
  </si>
  <si>
    <t>chrystie.cc@gmail.com</t>
  </si>
  <si>
    <t>Mallek, Maria Fetouma</t>
  </si>
  <si>
    <t>AVENUE ELMHURST</t>
  </si>
  <si>
    <t>H4B1Y3</t>
  </si>
  <si>
    <t>mallekmaria1@gmail.com</t>
  </si>
  <si>
    <t>Mainville, Lorie</t>
  </si>
  <si>
    <t>RUE ONTARIO EST</t>
  </si>
  <si>
    <t>H1B1J9</t>
  </si>
  <si>
    <t>lolomainville@hotmail.ca</t>
  </si>
  <si>
    <t>Kaddour, Maria</t>
  </si>
  <si>
    <t>H3S1H9</t>
  </si>
  <si>
    <t>kaddourmaria06@gmail.com</t>
  </si>
  <si>
    <t>Andog-Naba, Azaël Sebastien</t>
  </si>
  <si>
    <t>azaelsebastien@gmail.com</t>
  </si>
  <si>
    <t>Aboulhouda, Saad</t>
  </si>
  <si>
    <t>saad.bouchra1235@gmail.com</t>
  </si>
  <si>
    <t>St-Germain, Marianne</t>
  </si>
  <si>
    <t>H1A1S4</t>
  </si>
  <si>
    <t>marianne.stgermain@hotmail.com</t>
  </si>
  <si>
    <t>Bouchabou, Meriem</t>
  </si>
  <si>
    <t>RUE DESLIERRES</t>
  </si>
  <si>
    <t>H1S2B8</t>
  </si>
  <si>
    <t>meriembouchabou@gmail.com</t>
  </si>
  <si>
    <t>Jolicoeur, Ludovic</t>
  </si>
  <si>
    <t>RUE SHERBROOKE</t>
  </si>
  <si>
    <t>H8S1K1</t>
  </si>
  <si>
    <t>ludovic.jolicoeur@outlook.com</t>
  </si>
  <si>
    <t>Mendjana Odi, Linus</t>
  </si>
  <si>
    <t>MONTÉE DE SAINT-SULPICE</t>
  </si>
  <si>
    <t>ST-SULPICE</t>
  </si>
  <si>
    <t>J5W0L4</t>
  </si>
  <si>
    <t>linusmendjana5@gmail.com</t>
  </si>
  <si>
    <t>Zuniga-Scotti, Francesca</t>
  </si>
  <si>
    <t>H1R2A7</t>
  </si>
  <si>
    <t>frannscotti@hotmail.com</t>
  </si>
  <si>
    <t>Arouss, Anass</t>
  </si>
  <si>
    <t>H1X1A6</t>
  </si>
  <si>
    <t>anassarouss77@gmail.com</t>
  </si>
  <si>
    <t>H1T1B1</t>
  </si>
  <si>
    <t>El Achheb, Loubna</t>
  </si>
  <si>
    <t>H1X1B3</t>
  </si>
  <si>
    <t>loubnaelachheb@gmail.com</t>
  </si>
  <si>
    <t>El Khou, Kaoutar</t>
  </si>
  <si>
    <t>kaoutar26rhita@gmail.com</t>
  </si>
  <si>
    <t>Haggouch, Noureddine</t>
  </si>
  <si>
    <t>noureddine@haggouch.com</t>
  </si>
  <si>
    <t>Labdaoui, Oussama</t>
  </si>
  <si>
    <t>Osmlbd@yahoo.com</t>
  </si>
  <si>
    <t>Makamte Mba, Estelle Damaris </t>
  </si>
  <si>
    <t>H2G2X7</t>
  </si>
  <si>
    <t>damarismba83@gmail.com</t>
  </si>
  <si>
    <t>Mansour, Mohamed</t>
  </si>
  <si>
    <t xml:space="preserve"> BÉLANGER</t>
  </si>
  <si>
    <t>cestmansour@gmail.com</t>
  </si>
  <si>
    <t>Najem, Hayat</t>
  </si>
  <si>
    <t>H2R2L4</t>
  </si>
  <si>
    <t>mihoc434@gmail.com</t>
  </si>
  <si>
    <t xml:space="preserve">Ndiaye, Tacko </t>
  </si>
  <si>
    <t>2130 RUE GALT CRESCENT</t>
  </si>
  <si>
    <t>H4E1H6</t>
  </si>
  <si>
    <t>ndeytako1987@gmail.com</t>
  </si>
  <si>
    <t>Ngouamo, Louis Narcisse</t>
  </si>
  <si>
    <t>ngouamonarcisse@yahoo.fr</t>
  </si>
  <si>
    <t>Mouhajir, Adil</t>
  </si>
  <si>
    <t>H1T1T3</t>
  </si>
  <si>
    <t>adil.emigrant1995@gmail.com</t>
  </si>
  <si>
    <t>Ganeshapillai, Jeromy-John</t>
  </si>
  <si>
    <t>RUE OXFORD</t>
  </si>
  <si>
    <t>H4L1B7</t>
  </si>
  <si>
    <t>jeromyjohnganeshapillai@gmail.com</t>
  </si>
  <si>
    <t>Alliouche, Charaf Eddine</t>
  </si>
  <si>
    <t>28E AVENUE</t>
  </si>
  <si>
    <t>H1T3H7</t>
  </si>
  <si>
    <t>alliouche.charafeddine@gmail.com</t>
  </si>
  <si>
    <t>Carrillo Alvarado, Liz Katheryn</t>
  </si>
  <si>
    <t>RUE JACQUES-PLANTE</t>
  </si>
  <si>
    <t>H7W0G8</t>
  </si>
  <si>
    <t>h0neyliza@gmail.com</t>
  </si>
  <si>
    <t>Karan, Nihat</t>
  </si>
  <si>
    <t>H1P2B9</t>
  </si>
  <si>
    <t>nihatkaran1996@hotmail.com</t>
  </si>
  <si>
    <t>Terki, Fadila</t>
  </si>
  <si>
    <t>H2A3B3</t>
  </si>
  <si>
    <t>terkifadila5@gmail.com</t>
  </si>
  <si>
    <t>Langlois, Patrice</t>
  </si>
  <si>
    <t>H1T3J3</t>
  </si>
  <si>
    <t>patrice.langlois@gmail.com</t>
  </si>
  <si>
    <t>Kenanoglu, Cengiz</t>
  </si>
  <si>
    <t>H1K3V2</t>
  </si>
  <si>
    <t>cengizxkenanoglu@yahoo.com</t>
  </si>
  <si>
    <t>Nolet, Julie</t>
  </si>
  <si>
    <t>QUÉBEC 386</t>
  </si>
  <si>
    <t>SENNETERRE</t>
  </si>
  <si>
    <t>J0Y2M0</t>
  </si>
  <si>
    <t>julie19_19@hotmail.com</t>
  </si>
  <si>
    <t>Marc, Jephtherson Trézégaire</t>
  </si>
  <si>
    <t>RUE LORANGER</t>
  </si>
  <si>
    <t>H1P1P7</t>
  </si>
  <si>
    <t>trezegairemarc@gmail.com</t>
  </si>
  <si>
    <t>El Faik, Mohamed El Ghali</t>
  </si>
  <si>
    <t>elfaikg@gmail.com</t>
  </si>
  <si>
    <t>Camara, Ibrahima</t>
  </si>
  <si>
    <t>Guinée</t>
  </si>
  <si>
    <t>ibrahimcamara02001@gmail.com</t>
  </si>
  <si>
    <t xml:space="preserve">Mafoula Molou, Judith Gloria </t>
  </si>
  <si>
    <t>APPARTEMENT 101, 13849 AZALEA CIR</t>
  </si>
  <si>
    <t>TAMPA, FL, 33613</t>
  </si>
  <si>
    <t>États-Unis</t>
  </si>
  <si>
    <t>gloriamafoulaj@gmail.com</t>
  </si>
  <si>
    <t>Deslandes, Charles</t>
  </si>
  <si>
    <t>RUE DE MUSSET</t>
  </si>
  <si>
    <t>J2W1S6</t>
  </si>
  <si>
    <t>charlou.deslandes@gmail.com</t>
  </si>
  <si>
    <t>Diouf, Cheikh Mouhamed</t>
  </si>
  <si>
    <t>cheikh040704@gmail.com</t>
  </si>
  <si>
    <t>Voltaire, Donymarc</t>
  </si>
  <si>
    <t>RUE NOBEL</t>
  </si>
  <si>
    <t>H1P2Y5</t>
  </si>
  <si>
    <t>dvoltaire75@gmail.com</t>
  </si>
  <si>
    <t>Obeid, Mohamad Ziad</t>
  </si>
  <si>
    <t>ALBERT-DUQUESNE</t>
  </si>
  <si>
    <t>H7S1K7</t>
  </si>
  <si>
    <t>ziado34@gmail.com</t>
  </si>
  <si>
    <t>Ebiengui Beboule, Nataly</t>
  </si>
  <si>
    <t>J7P3Z5</t>
  </si>
  <si>
    <t>ebienguibeboulenataly@gmail.com</t>
  </si>
  <si>
    <t>Akakpo, Kodjo</t>
  </si>
  <si>
    <t>AV MOUNTAIN SIGHTS</t>
  </si>
  <si>
    <t>Kakakpo91@Yahoo.com</t>
  </si>
  <si>
    <t>Touma, Alice</t>
  </si>
  <si>
    <t>AVENUE DU HAVRE DES ILES</t>
  </si>
  <si>
    <t>H7W4C5</t>
  </si>
  <si>
    <t>alice@elfeghali.com</t>
  </si>
  <si>
    <t>Atte, Kouassi Boua Hubert</t>
  </si>
  <si>
    <t>AV PAQUIN</t>
  </si>
  <si>
    <t>H8R2V7</t>
  </si>
  <si>
    <t>huberson3@gmail.com</t>
  </si>
  <si>
    <t>Simo, James Nicolas</t>
  </si>
  <si>
    <t>RUE PARK</t>
  </si>
  <si>
    <t>J3Y4Y9</t>
  </si>
  <si>
    <t>simsjames57@yahoo.fr</t>
  </si>
  <si>
    <t>Tshikala, Beya Israel</t>
  </si>
  <si>
    <t>POOLTON CRESCENT</t>
  </si>
  <si>
    <t>COURTICE</t>
  </si>
  <si>
    <t>L1E2H6</t>
  </si>
  <si>
    <t>ON</t>
  </si>
  <si>
    <t>israbeya@gmail.com</t>
  </si>
  <si>
    <t>Cherif Ouazzani, Nassima</t>
  </si>
  <si>
    <t>B. SPRING GARDEN</t>
  </si>
  <si>
    <t>H9B1S8</t>
  </si>
  <si>
    <t>nassimacherifouazzani@gmail.com</t>
  </si>
  <si>
    <t>N'Draman, Aka Aristide</t>
  </si>
  <si>
    <t>TRINTAIRES</t>
  </si>
  <si>
    <t>H4E2R8</t>
  </si>
  <si>
    <t>ndramanaka1@gmail.com</t>
  </si>
  <si>
    <t>N'Chonon, Atsé Nathan Régis</t>
  </si>
  <si>
    <t>AV DU PARC</t>
  </si>
  <si>
    <t>H2V4J1</t>
  </si>
  <si>
    <t>regisnathan.26@gmail.com</t>
  </si>
  <si>
    <t>Ba, Bécaye</t>
  </si>
  <si>
    <t>Becayeba7.4@gmail.com</t>
  </si>
  <si>
    <t>Asaas, Mohamed Taha</t>
  </si>
  <si>
    <t>RUE PIERRE</t>
  </si>
  <si>
    <t>H7X3T2</t>
  </si>
  <si>
    <t>asaasTaha.scalingup@gmail.com</t>
  </si>
  <si>
    <t>Toukam, Mauriane Rayana</t>
  </si>
  <si>
    <t>Cameroun</t>
  </si>
  <si>
    <t>toukammauriane@gmail.com</t>
  </si>
  <si>
    <t>H1Y2E5</t>
  </si>
  <si>
    <t>Mejri, Houssem Eddine</t>
  </si>
  <si>
    <t>Tunisie</t>
  </si>
  <si>
    <t>houssemeddine.mejri.anes@gmail.com</t>
  </si>
  <si>
    <t>Eugene, Jn Philippe</t>
  </si>
  <si>
    <t>RUE SAINT-CHARLES O</t>
  </si>
  <si>
    <t>J4H3X1</t>
  </si>
  <si>
    <t>dr2jpe3md2@gmail.com</t>
  </si>
  <si>
    <t>Benaim-Sahtane, Iman</t>
  </si>
  <si>
    <t>SAINTE-CATHERINE OUEST</t>
  </si>
  <si>
    <t>H3Z1R3</t>
  </si>
  <si>
    <t>iman.benaim.sahtane.2@gmail.com</t>
  </si>
  <si>
    <t>Abassa, Djilali</t>
  </si>
  <si>
    <t>utopia.anesthesia@gmail.com</t>
  </si>
  <si>
    <t>Haj Ayed, Kawther</t>
  </si>
  <si>
    <t>SAINT-GERMAIN BLVD</t>
  </si>
  <si>
    <t>H4J1Z8</t>
  </si>
  <si>
    <t>koukouayed86@gmail.com</t>
  </si>
  <si>
    <t>El Aqqad, Akka</t>
  </si>
  <si>
    <t>H1X2B9</t>
  </si>
  <si>
    <t>elaqqad.akka@gmail.com</t>
  </si>
  <si>
    <t>Sekfali, Noreddine</t>
  </si>
  <si>
    <t>LARENDEAU</t>
  </si>
  <si>
    <t>J6A8E4</t>
  </si>
  <si>
    <t>sekfali-nordine@hotmail.fr</t>
  </si>
  <si>
    <t>Nechi, Mouna</t>
  </si>
  <si>
    <t>RUE CHERRIER</t>
  </si>
  <si>
    <t>H2L1H7</t>
  </si>
  <si>
    <t>nechimouna28@gmail.com</t>
  </si>
  <si>
    <t>Amiali, Nassima</t>
  </si>
  <si>
    <t>H1Z3N1</t>
  </si>
  <si>
    <t>nima.amiali@gmail.com</t>
  </si>
  <si>
    <t>Sahraoui, Kmar</t>
  </si>
  <si>
    <t>RUE BERRI</t>
  </si>
  <si>
    <t>H2J2S4</t>
  </si>
  <si>
    <t>kmar.sahraoui20@gmail.com</t>
  </si>
  <si>
    <t>Mekireche, Laïd</t>
  </si>
  <si>
    <t>mekireche@yahoo.fr</t>
  </si>
  <si>
    <t>Biaya, Raphael Georges</t>
  </si>
  <si>
    <t>AVENUE GALT</t>
  </si>
  <si>
    <t>H4E1J1</t>
  </si>
  <si>
    <t>biayaraphael@gmail.com</t>
  </si>
  <si>
    <t>Mlika, Teissir</t>
  </si>
  <si>
    <t>CH DE LA CÔTE-DES-NEIGES</t>
  </si>
  <si>
    <t>H3V1G5</t>
  </si>
  <si>
    <t>tayssirbaktache@gmail.com</t>
  </si>
  <si>
    <t>Tremblay, Isabelle</t>
  </si>
  <si>
    <t>RUE ANATOLE PARTHENAIS</t>
  </si>
  <si>
    <t>J6E8G8</t>
  </si>
  <si>
    <t>isa.tremblay24@hotmail.com</t>
  </si>
  <si>
    <t>Ben Sidi Ahmed, Salem</t>
  </si>
  <si>
    <t>AVENUE SALK</t>
  </si>
  <si>
    <t>H1G4Y4</t>
  </si>
  <si>
    <t>salembensidi@yahoo.ca</t>
  </si>
  <si>
    <t>Nyadenu, Akouvi Anne-Marie</t>
  </si>
  <si>
    <t>H1X1R9</t>
  </si>
  <si>
    <t>akouviannemarienyadenu@gmail.com</t>
  </si>
  <si>
    <t>Fomekong, Donatien</t>
  </si>
  <si>
    <t>RUE BRUMELLE</t>
  </si>
  <si>
    <t>G8T6A2</t>
  </si>
  <si>
    <t>fomekongdonatien1989@gmail.com</t>
  </si>
  <si>
    <t>Belloul, Anis</t>
  </si>
  <si>
    <t>anisobell@live.fr</t>
  </si>
  <si>
    <t>Trottier, Arianne</t>
  </si>
  <si>
    <t>AVENUE DES VENDÉENS</t>
  </si>
  <si>
    <t>H1K1S9</t>
  </si>
  <si>
    <t>aritrottier19@outlook.com</t>
  </si>
  <si>
    <t>Charles, Talissa</t>
  </si>
  <si>
    <t>RUE MOLIÈRE</t>
  </si>
  <si>
    <t>J5Y3V2</t>
  </si>
  <si>
    <t>charlestalissa99@gmail.com</t>
  </si>
  <si>
    <t>RUE CRÉPEAU</t>
  </si>
  <si>
    <t>Huggard, Manakel</t>
  </si>
  <si>
    <t>H1W3A6</t>
  </si>
  <si>
    <t>huggard.manakel@gmail.com</t>
  </si>
  <si>
    <t>Zouiten, Lina</t>
  </si>
  <si>
    <t>RUE SAINTE CATHERINE EST</t>
  </si>
  <si>
    <t>H2K0G2</t>
  </si>
  <si>
    <t>zouiten.lina13@gmail.com</t>
  </si>
  <si>
    <t>Louissaint, Luc Angel</t>
  </si>
  <si>
    <t>AVENUE GATINEAU</t>
  </si>
  <si>
    <t>H3T1X1</t>
  </si>
  <si>
    <t>Thisboyluc@icloud.com</t>
  </si>
  <si>
    <t>Vidal-Richard, Luc</t>
  </si>
  <si>
    <t>H1W1S8</t>
  </si>
  <si>
    <t>habsfan916@gmail.com</t>
  </si>
  <si>
    <t>Kerbel, Adel</t>
  </si>
  <si>
    <t>Adel.kerbel@hotmail.com</t>
  </si>
  <si>
    <t>Belfihadj, Karimane</t>
  </si>
  <si>
    <t>VICTORIN</t>
  </si>
  <si>
    <t>H1R3E2</t>
  </si>
  <si>
    <t>karimane.belf@gmail.com</t>
  </si>
  <si>
    <t>Valois, Mathis</t>
  </si>
  <si>
    <t>H1T2M5</t>
  </si>
  <si>
    <t>math.valois@gmail.com</t>
  </si>
  <si>
    <t>St-Denis, Justin</t>
  </si>
  <si>
    <t>PLACE JORDAN</t>
  </si>
  <si>
    <t>H8Y1H5</t>
  </si>
  <si>
    <t>justin@saintdenis.ca</t>
  </si>
  <si>
    <t>Mc Knight, Sean</t>
  </si>
  <si>
    <t>RUE ROBERT-CLICHE</t>
  </si>
  <si>
    <t>J5Z5E8</t>
  </si>
  <si>
    <t>seanmcknight58@gmail.com</t>
  </si>
  <si>
    <t>Gagnon-Massé, Merlin</t>
  </si>
  <si>
    <t>merlingagnonmasse@gmail.com</t>
  </si>
  <si>
    <t>Essala Awono, Gilbert Ulrich</t>
  </si>
  <si>
    <t>RUE LALIBERTÉ</t>
  </si>
  <si>
    <t>J5B1G1</t>
  </si>
  <si>
    <t>ulrichessala@icloud.com</t>
  </si>
  <si>
    <t>Cadieux, Zoé</t>
  </si>
  <si>
    <t>H1W3A5</t>
  </si>
  <si>
    <t>zozozoecadieux@gmail.com</t>
  </si>
  <si>
    <t>Zamor, Jan Gregor</t>
  </si>
  <si>
    <t>H2B2A1</t>
  </si>
  <si>
    <t>gregorzamor@gmail.com</t>
  </si>
  <si>
    <t>Selmour, Lorenzo</t>
  </si>
  <si>
    <t>H1X2R8</t>
  </si>
  <si>
    <t>bselmour@gmail.com</t>
  </si>
  <si>
    <t>Balea, Joseph</t>
  </si>
  <si>
    <t>H1X1E5</t>
  </si>
  <si>
    <t>josephbalea34@gmail.com</t>
  </si>
  <si>
    <t>Ramirez-Cruz, Yanick</t>
  </si>
  <si>
    <t>RUE DE BAVIÈRE</t>
  </si>
  <si>
    <t>H7M4Y7</t>
  </si>
  <si>
    <t>cruzy1004@gmail.com</t>
  </si>
  <si>
    <t>Goumeziane, Zaid</t>
  </si>
  <si>
    <t>RUE SUN VALLEY</t>
  </si>
  <si>
    <t>H7M3G6</t>
  </si>
  <si>
    <t>fadila.arab.chum@ssss.gouv.qc.ca</t>
  </si>
  <si>
    <t>St-Pierre, Aniève</t>
  </si>
  <si>
    <t>8912 AVENUE DE LOURESSE</t>
  </si>
  <si>
    <t>H1J1V5</t>
  </si>
  <si>
    <t>anievestpierre51@gmail.com</t>
  </si>
  <si>
    <t>Joseph, Lashwana</t>
  </si>
  <si>
    <t>H1G6B5</t>
  </si>
  <si>
    <t>lashwanajoseph31@gmail.com</t>
  </si>
  <si>
    <t>Alshareifi, Ahmad Khalid N Hezam</t>
  </si>
  <si>
    <t>RUE SAINT-MARTIN</t>
  </si>
  <si>
    <t>H3J1X1</t>
  </si>
  <si>
    <t>ahmadalshareifia@gmail.com</t>
  </si>
  <si>
    <t>Joseph, Ludjhina Aaliyah</t>
  </si>
  <si>
    <t>H1Z1H9</t>
  </si>
  <si>
    <t>LudjhinaAaliyah@outlook.com</t>
  </si>
  <si>
    <t>Assaf, Rafi</t>
  </si>
  <si>
    <t>BOULEVARD COTE VERTU OUEST</t>
  </si>
  <si>
    <t>rafi-assaf@hotmail.com</t>
  </si>
  <si>
    <t>Saldadi, Adam</t>
  </si>
  <si>
    <t>AVENUE RIEL</t>
  </si>
  <si>
    <t>H7C2L7</t>
  </si>
  <si>
    <t>Adamdu599@gmail.com</t>
  </si>
  <si>
    <t>Leudjou Njeveme, Larissa Gauldy</t>
  </si>
  <si>
    <t>H1G3M8</t>
  </si>
  <si>
    <t>larissanjeveme@yahoo.com</t>
  </si>
  <si>
    <t>Omary, Abdel Moghit</t>
  </si>
  <si>
    <t>H1K0K1</t>
  </si>
  <si>
    <t>moghit20@hotmail.com</t>
  </si>
  <si>
    <t>Oualikene, Imene</t>
  </si>
  <si>
    <t>J5Y1K1</t>
  </si>
  <si>
    <t>imeneoualikene@gmail.com</t>
  </si>
  <si>
    <t>Ham, Alex</t>
  </si>
  <si>
    <t>AVENUE DES ARISTOCRATES</t>
  </si>
  <si>
    <t>H7E5H3</t>
  </si>
  <si>
    <t>alexham28@hotmail.com</t>
  </si>
  <si>
    <t>Desulme, Dasean</t>
  </si>
  <si>
    <t>AV L'ARCHEVÊQUE</t>
  </si>
  <si>
    <t>H1H3A8</t>
  </si>
  <si>
    <t>desulmedasean@gmail.com</t>
  </si>
  <si>
    <t>Ceide, Lawens Dufrens</t>
  </si>
  <si>
    <t>H1K2V9</t>
  </si>
  <si>
    <t>ceidelawensdufrens@gmail.com</t>
  </si>
  <si>
    <t>Koffana Koffana, Olivier Fernand</t>
  </si>
  <si>
    <t>RUE ANTONIO</t>
  </si>
  <si>
    <t>H7V3N4</t>
  </si>
  <si>
    <t>2kf.olivier@gmail.com</t>
  </si>
  <si>
    <t>Roy Minty, Maude</t>
  </si>
  <si>
    <t>H2E2M5</t>
  </si>
  <si>
    <t>maudeminty@gmail.com</t>
  </si>
  <si>
    <t>Chahid, Yanis</t>
  </si>
  <si>
    <t>chahid.yanis@hotmail.com</t>
  </si>
  <si>
    <t>Diallo, Aminata</t>
  </si>
  <si>
    <t>TERRASSE SAINT ROCH</t>
  </si>
  <si>
    <t>H3N1Z6</t>
  </si>
  <si>
    <t>aminatamansour548@gmail.com</t>
  </si>
  <si>
    <t>Duguay, Kélianne</t>
  </si>
  <si>
    <t>RUE DONAT-CORRIVEAU</t>
  </si>
  <si>
    <t>BELOEIL</t>
  </si>
  <si>
    <t>J3G0C7</t>
  </si>
  <si>
    <t>keli.duguay@outlook.fr</t>
  </si>
  <si>
    <t>Kersaint, Handy Kemuel</t>
  </si>
  <si>
    <t>H7R4H2</t>
  </si>
  <si>
    <t>handykemuel@outlook.fr</t>
  </si>
  <si>
    <t>Gil, Noémie</t>
  </si>
  <si>
    <t>RUE DE LA CONCORDE</t>
  </si>
  <si>
    <t>H3A1J3</t>
  </si>
  <si>
    <t>noemie.gil15@gmail.com</t>
  </si>
  <si>
    <t>Proulx, Michael</t>
  </si>
  <si>
    <t>H2K1W1</t>
  </si>
  <si>
    <t>proulxm0101@gmail.com</t>
  </si>
  <si>
    <t>Coulombe, Rémi</t>
  </si>
  <si>
    <t>RUE DE BULLION</t>
  </si>
  <si>
    <t>H2X3A3</t>
  </si>
  <si>
    <t>coulombe.remi@gmail.com</t>
  </si>
  <si>
    <t>L'Heureux, Saskia</t>
  </si>
  <si>
    <t>H1X2G7</t>
  </si>
  <si>
    <t>lheureuxsaskia@gmail.com</t>
  </si>
  <si>
    <t>Zemiti, Mohamed Yanis</t>
  </si>
  <si>
    <t>H1Z3Y9</t>
  </si>
  <si>
    <t>momozem025@gmail.com</t>
  </si>
  <si>
    <t>Bahri, Adam</t>
  </si>
  <si>
    <t>bahriadam944@gmail.com</t>
  </si>
  <si>
    <t>Kaboré, Philippe-Alexandre</t>
  </si>
  <si>
    <t>AV ÉMARD</t>
  </si>
  <si>
    <t>H4E2C4</t>
  </si>
  <si>
    <t>panounou23@gmail.com</t>
  </si>
  <si>
    <t>Bolduc, Esteban</t>
  </si>
  <si>
    <t>RUE SAINTE HENRIETTE</t>
  </si>
  <si>
    <t>J5M2J8</t>
  </si>
  <si>
    <t>bolducesteban@gmail.com</t>
  </si>
  <si>
    <t>Dabia, Halwinn Maër Ghammalielh</t>
  </si>
  <si>
    <t>halwinnmaergd@gmail.com</t>
  </si>
  <si>
    <t>Sanadi, Nabil</t>
  </si>
  <si>
    <t>RUE DUMESNIL</t>
  </si>
  <si>
    <t>H1T3R4</t>
  </si>
  <si>
    <t>sanadinabil5@gmail.com</t>
  </si>
  <si>
    <t>Azolin, Mayala</t>
  </si>
  <si>
    <t>azolinmayala98@gmail.com</t>
  </si>
  <si>
    <t>Desrosiers, Jeanne</t>
  </si>
  <si>
    <t>H2E2R4</t>
  </si>
  <si>
    <t>jeannedesrosiers003@hotmail.com</t>
  </si>
  <si>
    <t>Saint-Cyr, Pavel</t>
  </si>
  <si>
    <t>RUE GEORGES-DELFOSSE</t>
  </si>
  <si>
    <t>J6Y1R5</t>
  </si>
  <si>
    <t>pavel00719@hotmail.com</t>
  </si>
  <si>
    <t>Lacasse, Antonio</t>
  </si>
  <si>
    <t>AVENUE HINGSTON</t>
  </si>
  <si>
    <t>H4A2J8</t>
  </si>
  <si>
    <t>tonydidly@gmail.com</t>
  </si>
  <si>
    <t>Cirius, Rose Alexandra</t>
  </si>
  <si>
    <t>AV BALDWIN</t>
  </si>
  <si>
    <t>H1K3C6</t>
  </si>
  <si>
    <t>rosealexandracirius@gmail.com</t>
  </si>
  <si>
    <t>Goupil, Annabelle</t>
  </si>
  <si>
    <t>AVENUE DE LA GARE</t>
  </si>
  <si>
    <t>J7K0X8</t>
  </si>
  <si>
    <t>annabelle.goupil@outlook.com</t>
  </si>
  <si>
    <t>Rousseau, Ethan Alexander</t>
  </si>
  <si>
    <t>J5Y2G3</t>
  </si>
  <si>
    <t>ethan.rousseau1@gmail.com</t>
  </si>
  <si>
    <t>Jean, Kervens</t>
  </si>
  <si>
    <t>CARMEL BLVD</t>
  </si>
  <si>
    <t>J6Y1T1</t>
  </si>
  <si>
    <t>jeankervens698@gmail.com</t>
  </si>
  <si>
    <t>Telt, Mohamed</t>
  </si>
  <si>
    <t>RUE BELLEAU</t>
  </si>
  <si>
    <t>H1P1H6</t>
  </si>
  <si>
    <t>mido.cr72006@gmail.com</t>
  </si>
  <si>
    <t>Garbouj, Darine</t>
  </si>
  <si>
    <t>RUE JEAN PICARD</t>
  </si>
  <si>
    <t>H7T2K4</t>
  </si>
  <si>
    <t>garbouj.darine@gmail.com</t>
  </si>
  <si>
    <t>Mabrouk, Kaouthar</t>
  </si>
  <si>
    <t>RUE SOMERSET</t>
  </si>
  <si>
    <t>H4K1R7</t>
  </si>
  <si>
    <t>cawtar111@gmail.com</t>
  </si>
  <si>
    <t>Juin, Kémissa</t>
  </si>
  <si>
    <t>RUE PARMENTIER</t>
  </si>
  <si>
    <t>H7K1X4</t>
  </si>
  <si>
    <t>kemissajuin@icloud.com</t>
  </si>
  <si>
    <t>Sénécal Henry, Kimany</t>
  </si>
  <si>
    <t>H1Y1E4</t>
  </si>
  <si>
    <t>kimany-s-h@hotmail.com</t>
  </si>
  <si>
    <t>Nyanplu, Amitme</t>
  </si>
  <si>
    <t>21E AV NORD</t>
  </si>
  <si>
    <t>J7Z3W2</t>
  </si>
  <si>
    <t>Amitmenyanplu@gmail.com</t>
  </si>
  <si>
    <t>Usukhbayar, Buyanzaya</t>
  </si>
  <si>
    <t>CH KINGSLEY</t>
  </si>
  <si>
    <t>H4W1P4</t>
  </si>
  <si>
    <t>zayana0116@gmail.com</t>
  </si>
  <si>
    <t>Henriquez-Suarez, Nauky Naomi</t>
  </si>
  <si>
    <t>H1X3C5</t>
  </si>
  <si>
    <t>naomihenriquez03@gmail.com</t>
  </si>
  <si>
    <t>Benmesmoudi, Abdelkader Amine</t>
  </si>
  <si>
    <t>benmesmoudiamine@gmail.com</t>
  </si>
  <si>
    <t>Taillefer, Marilou</t>
  </si>
  <si>
    <t>BOULEVARD SAINT-LAURENT</t>
  </si>
  <si>
    <t>H2T1S5</t>
  </si>
  <si>
    <t>marilou.taillefer@hotmail.com</t>
  </si>
  <si>
    <t>Sahnoune, Omar-Yacine</t>
  </si>
  <si>
    <t>H1T2C9</t>
  </si>
  <si>
    <t>yacineshnn2006@gmail.com</t>
  </si>
  <si>
    <t>Nkami Jugnia, Emmanuelle Christie</t>
  </si>
  <si>
    <t>J4J4C2</t>
  </si>
  <si>
    <t>emmanuellenkami@icloud.com</t>
  </si>
  <si>
    <t>Castor, Hashley James Sherley</t>
  </si>
  <si>
    <t>RUE LAVERGNE</t>
  </si>
  <si>
    <t>H1R1T2</t>
  </si>
  <si>
    <t>hashcastor@gmail.com</t>
  </si>
  <si>
    <t>Brisebois, Félix-Olivier</t>
  </si>
  <si>
    <t>AVENUE DE NEUVILLE</t>
  </si>
  <si>
    <t>MONTRÉAL, ANJOU</t>
  </si>
  <si>
    <t>H1J1X2</t>
  </si>
  <si>
    <t>felixolivierb@yahoo.ca</t>
  </si>
  <si>
    <t>Thiruchchelvan, Vino</t>
  </si>
  <si>
    <t>H1T3L3</t>
  </si>
  <si>
    <t>vinothesinner@gmail.com</t>
  </si>
  <si>
    <t>Carter, Amanda</t>
  </si>
  <si>
    <t>AV CASGRAIN</t>
  </si>
  <si>
    <t>H2S2Z4</t>
  </si>
  <si>
    <t>ammandalee.ac@gmail.com</t>
  </si>
  <si>
    <t>Jacinthe, Myljen</t>
  </si>
  <si>
    <t>AV OLIVIER-MAURAULT</t>
  </si>
  <si>
    <t>H2M1Z5</t>
  </si>
  <si>
    <t>myljenj@hotmail.fr</t>
  </si>
  <si>
    <t>Dortelus, Emmanuel</t>
  </si>
  <si>
    <t>TERRASSE BRISSETTE</t>
  </si>
  <si>
    <t>H7J1G7</t>
  </si>
  <si>
    <t>Emmanuel-dortelus@hotmail.ca</t>
  </si>
  <si>
    <t>Nguyen, Thanh Nhi Traycy</t>
  </si>
  <si>
    <t>H2G3A3</t>
  </si>
  <si>
    <t>ntraycy01@gmail.com</t>
  </si>
  <si>
    <t>Yuon, Alicia</t>
  </si>
  <si>
    <t>aliciayuon9@gmail.com</t>
  </si>
  <si>
    <t>Rebai-Dhia, Dawser</t>
  </si>
  <si>
    <t>H2K3T8</t>
  </si>
  <si>
    <t>dawserdhia@icloud.com</t>
  </si>
  <si>
    <t>RUE DE MONTJOIE</t>
  </si>
  <si>
    <t>Oubachir, Gaya</t>
  </si>
  <si>
    <t>CROISSANT DU PIOUI</t>
  </si>
  <si>
    <t>g.obgaya@gmail.com</t>
  </si>
  <si>
    <t>Blanchette, Ezékyel</t>
  </si>
  <si>
    <t>RUE ARSENAULT</t>
  </si>
  <si>
    <t>J7L3W8</t>
  </si>
  <si>
    <t>ezekyel.blanchette@gmail.com</t>
  </si>
  <si>
    <t>Ait Ahmed Kaci, Abdelghani</t>
  </si>
  <si>
    <t>H1S2E7</t>
  </si>
  <si>
    <t>agt.milieu.mdf@gmail.com</t>
  </si>
  <si>
    <t>Kaddache, Nour</t>
  </si>
  <si>
    <t>AV GONCOURT</t>
  </si>
  <si>
    <t>H1K3Y2</t>
  </si>
  <si>
    <t>nouraplante77@gmail.com</t>
  </si>
  <si>
    <t>Denis-Rémillard, Héloïse</t>
  </si>
  <si>
    <t>AVENUE MARIE-G.-LAJOIE</t>
  </si>
  <si>
    <t>heloise.denisremillard@gmail.com</t>
  </si>
  <si>
    <t>Alaoui Ismaili, Jad</t>
  </si>
  <si>
    <t>AV OUTREMONT</t>
  </si>
  <si>
    <t>H2V0C9</t>
  </si>
  <si>
    <t>collegemoi1@gmail.com</t>
  </si>
  <si>
    <t>Tahiri, Hanae</t>
  </si>
  <si>
    <t>AVENUE DE L'ESPLANADE</t>
  </si>
  <si>
    <t>hanaetahiri02@gmail.com</t>
  </si>
  <si>
    <t>Mawela, Emmanuel Wa Mawela</t>
  </si>
  <si>
    <t>GUYART</t>
  </si>
  <si>
    <t>H7T2R8</t>
  </si>
  <si>
    <t>emmanuelmawela26@gmail.com</t>
  </si>
  <si>
    <t>Ochoa-Restrepo, Isabella</t>
  </si>
  <si>
    <t>H1M3X3</t>
  </si>
  <si>
    <t>isabellaochoar14@gmail.com</t>
  </si>
  <si>
    <t>Gurkan, Yusuf</t>
  </si>
  <si>
    <t>H3N2J3</t>
  </si>
  <si>
    <t>yusuf.gurkan06@hotmail.com</t>
  </si>
  <si>
    <t>Kouadio, Kouadio Felix</t>
  </si>
  <si>
    <t>kouadiofx@gmail.com</t>
  </si>
  <si>
    <t>Nazir, Zainab</t>
  </si>
  <si>
    <t>73E AV</t>
  </si>
  <si>
    <t>H7V2X5</t>
  </si>
  <si>
    <t>znazir433@gmail.com</t>
  </si>
  <si>
    <t>Crapis-Rochette, Joanni</t>
  </si>
  <si>
    <t>H1N1Y7</t>
  </si>
  <si>
    <t>joannicrapis-rochette@hotmail.ca</t>
  </si>
  <si>
    <t>Baptiste, Jean Benedict</t>
  </si>
  <si>
    <t>AVENUE 48E</t>
  </si>
  <si>
    <t>H1E2G6</t>
  </si>
  <si>
    <t>jeanbenedict25@gmail.com</t>
  </si>
  <si>
    <t>Schuler, Xavier</t>
  </si>
  <si>
    <t>H1T2Z7</t>
  </si>
  <si>
    <t>xavier2168@outlook.com</t>
  </si>
  <si>
    <t>Sidani, Kaluza</t>
  </si>
  <si>
    <t>RUE JACOB</t>
  </si>
  <si>
    <t>J5Z4S9</t>
  </si>
  <si>
    <t>sidanikaluza8@gmail.com</t>
  </si>
  <si>
    <t>Harbit, Amar</t>
  </si>
  <si>
    <t>amarharbit6@gmail.com</t>
  </si>
  <si>
    <t>Benciba, Mohammed Reda</t>
  </si>
  <si>
    <t>RUE DE BAYONNE</t>
  </si>
  <si>
    <t>H1G2V9</t>
  </si>
  <si>
    <t>mrbenciba@gmail.com</t>
  </si>
  <si>
    <t>Mezidi, Bilal</t>
  </si>
  <si>
    <t>RUE ÉPHREM-LONGPRÉ</t>
  </si>
  <si>
    <t>H1T3W7</t>
  </si>
  <si>
    <t>bilalmezidi@hotmail.com</t>
  </si>
  <si>
    <t>Mitias-Escobar, Kevin</t>
  </si>
  <si>
    <t>J6A6Z1</t>
  </si>
  <si>
    <t>kevinmitias@hotmail.com</t>
  </si>
  <si>
    <t>Daha, Yann-Vianney</t>
  </si>
  <si>
    <t>H3J1V3</t>
  </si>
  <si>
    <t>dahayann@gmail.com</t>
  </si>
  <si>
    <t>Beugnet, Eleonore</t>
  </si>
  <si>
    <t>AVENUE CLANRANALD</t>
  </si>
  <si>
    <t>H3X2S2</t>
  </si>
  <si>
    <t>eleonore.ozii@gmail.com</t>
  </si>
  <si>
    <t>Benmouhoub, Fatima Zahra</t>
  </si>
  <si>
    <t>IMP DE LA BOULANCE</t>
  </si>
  <si>
    <t>H1J2W1</t>
  </si>
  <si>
    <t>zahrazara162004@gmail.com</t>
  </si>
  <si>
    <t>Nur, Abdourrahmane</t>
  </si>
  <si>
    <t>AVENUE WISEMAN</t>
  </si>
  <si>
    <t>H3N2P8</t>
  </si>
  <si>
    <t>abdourrahmanznur@gmail.com</t>
  </si>
  <si>
    <t>Champagne, David</t>
  </si>
  <si>
    <t>RUE BERNADETTE</t>
  </si>
  <si>
    <t>H7P5H5</t>
  </si>
  <si>
    <t>Davidch21000@icloud.com</t>
  </si>
  <si>
    <t>Diallo, Moussa</t>
  </si>
  <si>
    <t>AV VALOIS</t>
  </si>
  <si>
    <t>H1W3M1</t>
  </si>
  <si>
    <t>moussadiallodd2@gmail.com</t>
  </si>
  <si>
    <t>Saintelus, Claudine</t>
  </si>
  <si>
    <t>H1H4M4</t>
  </si>
  <si>
    <t>Saintelusclaudine@gmail.com</t>
  </si>
  <si>
    <t>RUE BELHERBE</t>
  </si>
  <si>
    <t>Loriston, Kiah Kathaleen</t>
  </si>
  <si>
    <t>H7N6J1</t>
  </si>
  <si>
    <t>kiah564@gmail.com</t>
  </si>
  <si>
    <t>Timoce, Robert</t>
  </si>
  <si>
    <t>BOULEVARD LEBLANC</t>
  </si>
  <si>
    <t>H7E4N8</t>
  </si>
  <si>
    <t>roberttimoce@gmail.com</t>
  </si>
  <si>
    <t>Milot, Emmanuel</t>
  </si>
  <si>
    <t>H2G2N2</t>
  </si>
  <si>
    <t>manumilot70@gmail.com</t>
  </si>
  <si>
    <t>Caron Parent, Jacob</t>
  </si>
  <si>
    <t>H1X2Z8</t>
  </si>
  <si>
    <t>jacobcaron17@icloud.com</t>
  </si>
  <si>
    <t>Drabo, Mahmoud Abdoul Madjid</t>
  </si>
  <si>
    <t>RUE RENÉ-LÉVESQUE</t>
  </si>
  <si>
    <t>H1B2B1</t>
  </si>
  <si>
    <t>mahmouddrabo72@gmail.com</t>
  </si>
  <si>
    <t>Sforza, Anthony</t>
  </si>
  <si>
    <t>AVENUE DES GRANDS PRÉS</t>
  </si>
  <si>
    <t>J6V0A2</t>
  </si>
  <si>
    <t>antman227@icloud.com</t>
  </si>
  <si>
    <t>Queiroz Fonte Barros Guimaraes, Gabriel</t>
  </si>
  <si>
    <t>H1M2Y6</t>
  </si>
  <si>
    <t>gabrielfonteguima@gmail.com</t>
  </si>
  <si>
    <t>Zeddini, Mohamed Aziz</t>
  </si>
  <si>
    <t>H1K3E6</t>
  </si>
  <si>
    <t>mazcegep@gmail.com</t>
  </si>
  <si>
    <t>Naga, Samy</t>
  </si>
  <si>
    <t>RUE ARCHAMBAULT</t>
  </si>
  <si>
    <t>J6A1A2</t>
  </si>
  <si>
    <t>luffyakmugiwara@gmail.com</t>
  </si>
  <si>
    <t xml:space="preserve">Philidor, Nirvalyne Elisabeth </t>
  </si>
  <si>
    <t>RUE DUFRESNE</t>
  </si>
  <si>
    <t>H2K3K1</t>
  </si>
  <si>
    <t>elisabethnirvalyne@gmail.com</t>
  </si>
  <si>
    <t>Frej, Nada</t>
  </si>
  <si>
    <t>H1M2C5</t>
  </si>
  <si>
    <t>nadafrej@gmail.com</t>
  </si>
  <si>
    <t>Schmidt, Laurie</t>
  </si>
  <si>
    <t>H1T3K8</t>
  </si>
  <si>
    <t>schmidtlaurie1@gmail.com</t>
  </si>
  <si>
    <t>Adjaoud, Amine</t>
  </si>
  <si>
    <t>AV PIERRE-ALBERT</t>
  </si>
  <si>
    <t>RIVIÈRE-BEAUDETTE</t>
  </si>
  <si>
    <t>J0P1R0</t>
  </si>
  <si>
    <t>amineadjaoudCEGEP@gmail.com</t>
  </si>
  <si>
    <t>Si Hadj Mohand, Samy</t>
  </si>
  <si>
    <t>RUE DE PORT CARTIER</t>
  </si>
  <si>
    <t>J6A7G9</t>
  </si>
  <si>
    <t>samia.lebtahi@gmail.com</t>
  </si>
  <si>
    <t>Scutt, Samuel</t>
  </si>
  <si>
    <t>H1R3A3</t>
  </si>
  <si>
    <t>samuelscutt15@gmail.com</t>
  </si>
  <si>
    <t>Guérette, Thomas</t>
  </si>
  <si>
    <t>RUE LATOUR</t>
  </si>
  <si>
    <t>J3Y4V7</t>
  </si>
  <si>
    <t>tguerette6@gmail.com</t>
  </si>
  <si>
    <t>Jutras, Florence</t>
  </si>
  <si>
    <t>AV. D'ORLÉANS</t>
  </si>
  <si>
    <t>elmalechat@icloud.com</t>
  </si>
  <si>
    <t>Tapsoba, Nadine</t>
  </si>
  <si>
    <t>n_tapsoba@yahoo.fr</t>
  </si>
  <si>
    <t>Otoko Okitasombo, Ridi</t>
  </si>
  <si>
    <t>J4J4W4</t>
  </si>
  <si>
    <t>rdplus2015@gmail.com</t>
  </si>
  <si>
    <t>Deschênes, Milan</t>
  </si>
  <si>
    <t>RUE LOUIS-HÉMON</t>
  </si>
  <si>
    <t>H2G2K8</t>
  </si>
  <si>
    <t>milan.deschenes@gmail.com</t>
  </si>
  <si>
    <t>Tchape, Julio Cesar</t>
  </si>
  <si>
    <t>RUE HECTOR - LUSSIER</t>
  </si>
  <si>
    <t>H7C2S2</t>
  </si>
  <si>
    <t>tchapejulio10@gmail.com</t>
  </si>
  <si>
    <t>Scutt, Kedjinny</t>
  </si>
  <si>
    <t>RUE DE LA CANIAPISCAU</t>
  </si>
  <si>
    <t>scuttkedjinny@yahoo.com</t>
  </si>
  <si>
    <t>Guerrier, Kevin Jones</t>
  </si>
  <si>
    <t>RUE DES HALBRANS</t>
  </si>
  <si>
    <t>J7M2E6</t>
  </si>
  <si>
    <t>kevinjonesguek@hotmail.com</t>
  </si>
  <si>
    <t>Seddati, Houssam</t>
  </si>
  <si>
    <t>houssam.seddati@gmail.com</t>
  </si>
  <si>
    <t>Falco, Victor</t>
  </si>
  <si>
    <t>victor.falco04@gmail.com</t>
  </si>
  <si>
    <t>El Hrychy, Mohamed</t>
  </si>
  <si>
    <t>BD DES GRANDES PRAIRIES</t>
  </si>
  <si>
    <t>H1R1A8</t>
  </si>
  <si>
    <t>hrychy1@gmail.com</t>
  </si>
  <si>
    <t>Gil Lopez, Samuel</t>
  </si>
  <si>
    <t>RUE LA PERRIÈRE</t>
  </si>
  <si>
    <t>J3Y0W8</t>
  </si>
  <si>
    <t>samgil19@hotmail.com</t>
  </si>
  <si>
    <t>Marin Jimenez, Alejandro Junior</t>
  </si>
  <si>
    <t>alejandro-1337@outlook.com</t>
  </si>
  <si>
    <t>Blaise, Merlends</t>
  </si>
  <si>
    <t>J5Y3N9</t>
  </si>
  <si>
    <t>kinglendssyt@gmail.com</t>
  </si>
  <si>
    <t>Wabi, Kolawolé Mehdy Breadley</t>
  </si>
  <si>
    <t>RUE ROOSEVELT</t>
  </si>
  <si>
    <t>J4T1K7</t>
  </si>
  <si>
    <t>mehdywabi26@gmail.com</t>
  </si>
  <si>
    <t>Benouareth, Lokmen</t>
  </si>
  <si>
    <t>H1T1W3</t>
  </si>
  <si>
    <t>Benouarethlokmen@gmail.com</t>
  </si>
  <si>
    <t>H1G5T9</t>
  </si>
  <si>
    <t>Taieb, Aya</t>
  </si>
  <si>
    <t>RUE DE L'HARMONIE</t>
  </si>
  <si>
    <t>H7A4E8</t>
  </si>
  <si>
    <t>Ayataieb2@hotmail.com</t>
  </si>
  <si>
    <t>Misumba Mulumba, Sarah</t>
  </si>
  <si>
    <t>H1N1T6</t>
  </si>
  <si>
    <t>sarah.misumba@hotmail.fr</t>
  </si>
  <si>
    <t>Said, Zohrrah</t>
  </si>
  <si>
    <t>AVENUE HASTINGS</t>
  </si>
  <si>
    <t>POINTE-CLAIRE</t>
  </si>
  <si>
    <t>H9R3P4</t>
  </si>
  <si>
    <t>zohrrah0399@hotmail.ca</t>
  </si>
  <si>
    <t>Nadiri, Nirmine</t>
  </si>
  <si>
    <t>RUE DE BLOIS</t>
  </si>
  <si>
    <t>H1R2X2</t>
  </si>
  <si>
    <t>nini.nana.2000@hotmail.com</t>
  </si>
  <si>
    <t>Huynh, John Thien Nang</t>
  </si>
  <si>
    <t>john.tn.huynh@gmail.com</t>
  </si>
  <si>
    <t>Lachelili, Yani</t>
  </si>
  <si>
    <t>BOULEVARD CHÂTEAUNEUF</t>
  </si>
  <si>
    <t>H1K1E6</t>
  </si>
  <si>
    <t>yanilachelili@gmail.com</t>
  </si>
  <si>
    <t>Carrie, Thomas</t>
  </si>
  <si>
    <t>ABBOTS CORNER</t>
  </si>
  <si>
    <t>FRELIGHSBURG</t>
  </si>
  <si>
    <t>J0J1C0</t>
  </si>
  <si>
    <t>ThomasCarrie001@gmail.com</t>
  </si>
  <si>
    <t>Bilongo, Mienelle</t>
  </si>
  <si>
    <t>RUE LESSARD</t>
  </si>
  <si>
    <t>H7A1R5</t>
  </si>
  <si>
    <t>bmienelle@gmail.com</t>
  </si>
  <si>
    <t>Tessier-Verville, Loïc</t>
  </si>
  <si>
    <t>H2S2B7</t>
  </si>
  <si>
    <t>tesverlolo@gmail.com</t>
  </si>
  <si>
    <t>Mulumba, Dave Kabangu</t>
  </si>
  <si>
    <t>H1W3T5</t>
  </si>
  <si>
    <t>davemulumba123@gmail.com</t>
  </si>
  <si>
    <t>El Farricha, Hiba</t>
  </si>
  <si>
    <t>H7W1S8</t>
  </si>
  <si>
    <t>hibaelfarricha2006@gmail.com</t>
  </si>
  <si>
    <t>Florent, Patrick</t>
  </si>
  <si>
    <t>RUE D'HÉRELLE</t>
  </si>
  <si>
    <t>H1Z2B7</t>
  </si>
  <si>
    <t>patjuflor@hotmail.fr</t>
  </si>
  <si>
    <t>Saint-Jean, Wodskens</t>
  </si>
  <si>
    <t>wodskens6@gmail.com</t>
  </si>
  <si>
    <t>McKinnon-Cajavilca, Matheo</t>
  </si>
  <si>
    <t>BOULEVARD DEMORTAGNE</t>
  </si>
  <si>
    <t>J4B5M7</t>
  </si>
  <si>
    <t>matheomcc04@gmail.com</t>
  </si>
  <si>
    <t>Galarneau-Tremblay, Mia</t>
  </si>
  <si>
    <t>RUE PIERRE-GADOIS</t>
  </si>
  <si>
    <t>H1M2X7</t>
  </si>
  <si>
    <t>miagalarneauu@gmail.com</t>
  </si>
  <si>
    <t>Ndongala, Kevin Ntomena</t>
  </si>
  <si>
    <t>Ndongalak@csdmedu.ca</t>
  </si>
  <si>
    <t>Abdellaoui, Ayoub</t>
  </si>
  <si>
    <t>abdellaouiayoub05@gmail.com</t>
  </si>
  <si>
    <t>Khan, Ahmed</t>
  </si>
  <si>
    <t>H4L0B5</t>
  </si>
  <si>
    <t>ahmedkhan114499@gmail.com</t>
  </si>
  <si>
    <t>Abdeltif, Habib Skandar</t>
  </si>
  <si>
    <t>AV HENRI-MIRO</t>
  </si>
  <si>
    <t>abdfskandar@gmail.com</t>
  </si>
  <si>
    <t>St Cloud, Stanley</t>
  </si>
  <si>
    <t>stcloudstanley@gmail.com</t>
  </si>
  <si>
    <t>Orélus Yves, Emky</t>
  </si>
  <si>
    <t>ALLÉE DES TILLEULS</t>
  </si>
  <si>
    <t>H1M1G3</t>
  </si>
  <si>
    <t>emkyorelus17@gmail.com</t>
  </si>
  <si>
    <t>Djezar, Meriem</t>
  </si>
  <si>
    <t>mimina.20@hotmail.com</t>
  </si>
  <si>
    <t>Khoday Rahm, Ruheed</t>
  </si>
  <si>
    <t>PLACE DE CHEVERNY</t>
  </si>
  <si>
    <t>J7K0J6</t>
  </si>
  <si>
    <t>ruheedk11@gmail.com</t>
  </si>
  <si>
    <t>Aini, Elha</t>
  </si>
  <si>
    <t>RUE JALBERT</t>
  </si>
  <si>
    <t>H7P5X3</t>
  </si>
  <si>
    <t>elha.aini@outlook.com</t>
  </si>
  <si>
    <t>Oujnine, Yasmine</t>
  </si>
  <si>
    <t>H1T3R9</t>
  </si>
  <si>
    <t>yasmineoujnine28@gmail.com</t>
  </si>
  <si>
    <t>Berimi, Amelia</t>
  </si>
  <si>
    <t>5EME AVENUE</t>
  </si>
  <si>
    <t>H1Y2T5</t>
  </si>
  <si>
    <t>ameliaberimi5@gmail.com</t>
  </si>
  <si>
    <t>Cheggour, Farid</t>
  </si>
  <si>
    <t>faridcheggour2@gmail.com</t>
  </si>
  <si>
    <t>Herrmann, Marie</t>
  </si>
  <si>
    <t>AVENUE BRUCHÉSI</t>
  </si>
  <si>
    <t>H2B2T1</t>
  </si>
  <si>
    <t>marie.herrmann2@gmail.com</t>
  </si>
  <si>
    <t>Merabti, Selyana</t>
  </si>
  <si>
    <t>RUE BUFFON</t>
  </si>
  <si>
    <t>H1C2L2</t>
  </si>
  <si>
    <t>m.selyana@yahoo.ca</t>
  </si>
  <si>
    <t>Mikdame, Rime</t>
  </si>
  <si>
    <t>RUE MAZARIN</t>
  </si>
  <si>
    <t>H1A3E2</t>
  </si>
  <si>
    <t>rimemikdame@hotmail.com</t>
  </si>
  <si>
    <t>Orélus Yves, Kemcy</t>
  </si>
  <si>
    <t>kemcyorelus00@gmail.com</t>
  </si>
  <si>
    <t>Klebo, Mahuna Freddy</t>
  </si>
  <si>
    <t>RUE DE CHÂTILLON</t>
  </si>
  <si>
    <t>H7K3S7</t>
  </si>
  <si>
    <t>mahfredcourses@gmail.com</t>
  </si>
  <si>
    <t>Ouabdesselam, Ariles</t>
  </si>
  <si>
    <t>ariouab843@gmail.com</t>
  </si>
  <si>
    <t>Gervais-Gauthier, Guillaume</t>
  </si>
  <si>
    <t>IBERVILLE</t>
  </si>
  <si>
    <t>H2E2Y4</t>
  </si>
  <si>
    <t>ggervaisgauthier@gmail.com</t>
  </si>
  <si>
    <t>Noël Oliverio, Anabel</t>
  </si>
  <si>
    <t>H1N2Y8</t>
  </si>
  <si>
    <t>anabelnoeloliverio@gmail.com</t>
  </si>
  <si>
    <t>Pierre, Lynne Mardade</t>
  </si>
  <si>
    <t>H1Z4C4</t>
  </si>
  <si>
    <t>lynnemardadep@gmail.com</t>
  </si>
  <si>
    <t>Imgaline, Anais</t>
  </si>
  <si>
    <t>H1B3K1</t>
  </si>
  <si>
    <t>anaisim09@gmail.com</t>
  </si>
  <si>
    <t>Mohammadi, Sorena</t>
  </si>
  <si>
    <t>AVENUE SAINTE-CROIX</t>
  </si>
  <si>
    <t>H4L5N9</t>
  </si>
  <si>
    <t>sorena.mohammadi@icloud.com</t>
  </si>
  <si>
    <t>Kenga, Laurène Tshimanga</t>
  </si>
  <si>
    <t>RUE BULLION</t>
  </si>
  <si>
    <t>J4M1P4</t>
  </si>
  <si>
    <t>laurenekenga8@gmail.com</t>
  </si>
  <si>
    <t>Nzaba, Yanh</t>
  </si>
  <si>
    <t>RUE DE TECK</t>
  </si>
  <si>
    <t>H1L6P4</t>
  </si>
  <si>
    <t>yanhbilomboynm@gmail.com</t>
  </si>
  <si>
    <t>Helal, Syed Rifat Bin</t>
  </si>
  <si>
    <t>anchoredharbour@gmail.com</t>
  </si>
  <si>
    <t>Ouabdesselam, Liza</t>
  </si>
  <si>
    <t>lizaouab29@gmail.com</t>
  </si>
  <si>
    <t>Piquion Durand, Coralie</t>
  </si>
  <si>
    <t>H1K3J7</t>
  </si>
  <si>
    <t>coraliepdurand@gmail.com</t>
  </si>
  <si>
    <t>Drammeh, Babucarr</t>
  </si>
  <si>
    <t>H4J1G5</t>
  </si>
  <si>
    <t>drammehy563@gmail.com</t>
  </si>
  <si>
    <t>Agbezounon, Ted</t>
  </si>
  <si>
    <t>RUE CATHERINE</t>
  </si>
  <si>
    <t>H7P4C8</t>
  </si>
  <si>
    <t>agbezounot@gmail.com</t>
  </si>
  <si>
    <t>Diop, Mamadou Doudou</t>
  </si>
  <si>
    <t>BOULEVARD FRENETTE</t>
  </si>
  <si>
    <t>H7R1N8</t>
  </si>
  <si>
    <t>doudsdouds2006@gmail.com</t>
  </si>
  <si>
    <t>Duan, Yiyu Mathis</t>
  </si>
  <si>
    <t>H1T2W6</t>
  </si>
  <si>
    <t>yiyu_duan@hotmail.com</t>
  </si>
  <si>
    <t>Lapointe, Simon</t>
  </si>
  <si>
    <t>RUE GRÉGOIRE</t>
  </si>
  <si>
    <t>H7P2T4</t>
  </si>
  <si>
    <t>simonlapointe27@gmail.com</t>
  </si>
  <si>
    <t>Patitucci, Carmine Ryan</t>
  </si>
  <si>
    <t>RUE HAMEURY</t>
  </si>
  <si>
    <t>H7E2G2</t>
  </si>
  <si>
    <t>Ryan7ries@hotmail.com</t>
  </si>
  <si>
    <t>Villegas Rubio, Kevin David</t>
  </si>
  <si>
    <t>elsensei21@outlook.com</t>
  </si>
  <si>
    <t>Akter, Anika</t>
  </si>
  <si>
    <t>AVENUE D'OUTREMONT</t>
  </si>
  <si>
    <t>H3N2L3</t>
  </si>
  <si>
    <t>anikabaktao@gmail.com</t>
  </si>
  <si>
    <t>Aguilera Roman, Victor</t>
  </si>
  <si>
    <t>H1L6B7</t>
  </si>
  <si>
    <t>victorhugoaguileraroman@gmail.com</t>
  </si>
  <si>
    <t>Bruno, Errdrine-Lindsay</t>
  </si>
  <si>
    <t>errdrine.bruno@gmail.com</t>
  </si>
  <si>
    <t>Heng, Kevin</t>
  </si>
  <si>
    <t>RUE NOORDUYN</t>
  </si>
  <si>
    <t>H4R1A1</t>
  </si>
  <si>
    <t>kevn.heng@gmail.com</t>
  </si>
  <si>
    <t>Reyes, Amphy</t>
  </si>
  <si>
    <t>RUE HARRIS</t>
  </si>
  <si>
    <t>H4N2G9</t>
  </si>
  <si>
    <t>amphy_reyes@outlook.com</t>
  </si>
  <si>
    <t>Romondt, Jorginho Daniel</t>
  </si>
  <si>
    <t>RUE POIRIER</t>
  </si>
  <si>
    <t>J7M1P4</t>
  </si>
  <si>
    <t>d.romondt0199@gmail.com</t>
  </si>
  <si>
    <t>Pigeon-Lussier, Romane</t>
  </si>
  <si>
    <t>AVENUE DESMARCHAIS</t>
  </si>
  <si>
    <t>H4H1S7</t>
  </si>
  <si>
    <t>romane.lussier@hotmail.com</t>
  </si>
  <si>
    <t>Tchapdie, Loïc</t>
  </si>
  <si>
    <t>AVENUE CRÉPEAU</t>
  </si>
  <si>
    <t>J7K2P9</t>
  </si>
  <si>
    <t>tchap.loic@gmail.com</t>
  </si>
  <si>
    <t>Tello Jedrzejowski, Belen Isidra</t>
  </si>
  <si>
    <t>H2S0B6</t>
  </si>
  <si>
    <t>belenisidra@hotmail.com</t>
  </si>
  <si>
    <t>Beauchamp, Daphné</t>
  </si>
  <si>
    <t>AVENUE DU CHEVAL-BLANC</t>
  </si>
  <si>
    <t>J8R3M2</t>
  </si>
  <si>
    <t>daphnebeauchamp7@gmail.com</t>
  </si>
  <si>
    <t>Selvarajah, Sharanga</t>
  </si>
  <si>
    <t>8E RUE</t>
  </si>
  <si>
    <t>H7V1N6</t>
  </si>
  <si>
    <t>sharanga04@icloud.com</t>
  </si>
  <si>
    <t>Bouzar, Fazine</t>
  </si>
  <si>
    <t>H1R1V6</t>
  </si>
  <si>
    <t>Bouzarfazine65@gmail.com</t>
  </si>
  <si>
    <t>Kanaan, Eva</t>
  </si>
  <si>
    <t>BOURG-LOUIS</t>
  </si>
  <si>
    <t>J6X1K8</t>
  </si>
  <si>
    <t>evkanaan@gmail.com</t>
  </si>
  <si>
    <t>Siphaengphet, Maddox</t>
  </si>
  <si>
    <t>H1G5T5</t>
  </si>
  <si>
    <t>siphaengphetm@gmail.com</t>
  </si>
  <si>
    <t>Grant, O'Ryan</t>
  </si>
  <si>
    <t>H4J1J7</t>
  </si>
  <si>
    <t>oryangrant2@gmail.com</t>
  </si>
  <si>
    <t>Rodenas Saavedra, Patricio</t>
  </si>
  <si>
    <t>patito.r.s@outlook.com</t>
  </si>
  <si>
    <t>Dort, Christina</t>
  </si>
  <si>
    <t>RUE ALLARD</t>
  </si>
  <si>
    <t>J5X2Z1</t>
  </si>
  <si>
    <t>thinadort@hotmail.com</t>
  </si>
  <si>
    <t>Boukouraine, Omar</t>
  </si>
  <si>
    <t>RUE DOUBLET</t>
  </si>
  <si>
    <t>H7B1G3</t>
  </si>
  <si>
    <t>oboukouraine@gmail.com</t>
  </si>
  <si>
    <t>Milien, Rose-Martine</t>
  </si>
  <si>
    <t>AVE DE CHAUMONT</t>
  </si>
  <si>
    <t>H1K1N2</t>
  </si>
  <si>
    <t>rosemartinemilien@gmail.com</t>
  </si>
  <si>
    <t>St-Martin, Jean-Franck</t>
  </si>
  <si>
    <t>jeanfranckstmartin@gmail.com</t>
  </si>
  <si>
    <t>Shanmugam, Agimanna</t>
  </si>
  <si>
    <t>ST-KEVIN</t>
  </si>
  <si>
    <t>H3T1J1</t>
  </si>
  <si>
    <t>agimanna99@gmail.com</t>
  </si>
  <si>
    <t>Arbadji, Neil</t>
  </si>
  <si>
    <t>H1T2J9</t>
  </si>
  <si>
    <t>Dzneilarbadji@gmail.com</t>
  </si>
  <si>
    <t>Tas, Souhaib</t>
  </si>
  <si>
    <t>H1M2L9</t>
  </si>
  <si>
    <t>souhaibtas28@icloud.com</t>
  </si>
  <si>
    <t>El Maaroufi, Rayane</t>
  </si>
  <si>
    <t>SAINTE-ROSE BLVD E</t>
  </si>
  <si>
    <t>H7H1N9</t>
  </si>
  <si>
    <t>2439540@crosemont.qc.ca</t>
  </si>
  <si>
    <t>Vo, Thi Quynh Anh</t>
  </si>
  <si>
    <t>RUE LOUIS-H.-LA FONTAINE</t>
  </si>
  <si>
    <t>H1K4B8</t>
  </si>
  <si>
    <t>meinna463@gmail.com</t>
  </si>
  <si>
    <t>Msabeh, Toleen</t>
  </si>
  <si>
    <t>H1M1M1</t>
  </si>
  <si>
    <t>msabeetl@gmail.com</t>
  </si>
  <si>
    <t>Ali, Mohtasham</t>
  </si>
  <si>
    <t>mohtashamali2001@gmail.com</t>
  </si>
  <si>
    <t>Sami, Maya</t>
  </si>
  <si>
    <t>RUE DE LA MATAPÉDIA</t>
  </si>
  <si>
    <t>J5W1Z8</t>
  </si>
  <si>
    <t>maya.sami06@icloud.com</t>
  </si>
  <si>
    <t>Naa'l, Basem</t>
  </si>
  <si>
    <t>BOULEVARD DE LA CÔTE VERTU</t>
  </si>
  <si>
    <t>H4R3G5</t>
  </si>
  <si>
    <t>Aziz123azoz123@gmail.com</t>
  </si>
  <si>
    <t>Wajid, Nadim</t>
  </si>
  <si>
    <t>H3N2C2</t>
  </si>
  <si>
    <t>u.wajid@outlook.com</t>
  </si>
  <si>
    <t>Rodas Mimeault, Melvin</t>
  </si>
  <si>
    <t>SAINT-JOSEPH BLVD E</t>
  </si>
  <si>
    <t>H1Y2B5</t>
  </si>
  <si>
    <t>rodasisaac23@gmail.com</t>
  </si>
  <si>
    <t>Darisme, Myrionna</t>
  </si>
  <si>
    <t>H1K3V3</t>
  </si>
  <si>
    <t>darismemyrionna@gmail.com</t>
  </si>
  <si>
    <t>Zeghdoud, Mohamed</t>
  </si>
  <si>
    <t>mohandzeghdoud@gmail.com</t>
  </si>
  <si>
    <t>Jena, Maria</t>
  </si>
  <si>
    <t>AVENUE DE CHAMPCHEVRIER</t>
  </si>
  <si>
    <t>H1J1W4</t>
  </si>
  <si>
    <t>dorajena9@gmail.com</t>
  </si>
  <si>
    <t>Timothee, Seneck</t>
  </si>
  <si>
    <t>H1H4L1</t>
  </si>
  <si>
    <t>senecktimothee@gmail.com</t>
  </si>
  <si>
    <t>Alphonse, Bianka Paola</t>
  </si>
  <si>
    <t>biankapaolaalphonse298@gmail.com</t>
  </si>
  <si>
    <t>Tjani Demese, Danielle Fabiole</t>
  </si>
  <si>
    <t>demesedanielle@gmail.com</t>
  </si>
  <si>
    <t>Dri, Banan Kouakou Jocelyn</t>
  </si>
  <si>
    <t>H1Z3Z2</t>
  </si>
  <si>
    <t>jojostatois8@gmail.com</t>
  </si>
  <si>
    <t>Sellah, Elias</t>
  </si>
  <si>
    <t>RUE CAZENEUVE</t>
  </si>
  <si>
    <t>H4R1T9</t>
  </si>
  <si>
    <t>gojo.gojo35@gmail.com</t>
  </si>
  <si>
    <t>Louahedj, Khokha</t>
  </si>
  <si>
    <t>RUE DE NAPLES</t>
  </si>
  <si>
    <t>H1S1G8</t>
  </si>
  <si>
    <t>Louahedjk@gmail.com</t>
  </si>
  <si>
    <t>Manzanza, Gloire A Dieu Makiese</t>
  </si>
  <si>
    <t>H1T1G7</t>
  </si>
  <si>
    <t>manzanzagloire81@gmail.com</t>
  </si>
  <si>
    <t>Guzman Bontemps, Samuel-William</t>
  </si>
  <si>
    <t>H1M1A7</t>
  </si>
  <si>
    <t>guzmanbontempss@hotmail.com</t>
  </si>
  <si>
    <t>Bado, Yassimina</t>
  </si>
  <si>
    <t>RUE LAPOINTE</t>
  </si>
  <si>
    <t>J4G1H2</t>
  </si>
  <si>
    <t>yassebado@gmail.com</t>
  </si>
  <si>
    <t>Ayachi, Abdelkader</t>
  </si>
  <si>
    <t>H3T1K1</t>
  </si>
  <si>
    <t>abdelkader.ayachi1990@gmail.com</t>
  </si>
  <si>
    <t>Roy, David</t>
  </si>
  <si>
    <t>GASCON</t>
  </si>
  <si>
    <t>H2K2W5</t>
  </si>
  <si>
    <t>david.roy96@hotmail.com</t>
  </si>
  <si>
    <t>Lim, My-Huê</t>
  </si>
  <si>
    <t>H2G1Y7</t>
  </si>
  <si>
    <t>miway.limdomela@gmail.com</t>
  </si>
  <si>
    <t>Morvan, Olivier</t>
  </si>
  <si>
    <t>H1Y2Y9</t>
  </si>
  <si>
    <t>olimorvan@icloud.com</t>
  </si>
  <si>
    <t>Cavalcante Rodrigues, Emanuelle Itala</t>
  </si>
  <si>
    <t>H1T4B5</t>
  </si>
  <si>
    <t>emanuelleicrodrigues@gmail.com</t>
  </si>
  <si>
    <t>Pierre, Evens</t>
  </si>
  <si>
    <t>RUE EDMOND-DESCHAMPS</t>
  </si>
  <si>
    <t>J3L7B3</t>
  </si>
  <si>
    <t>ryvensk@yahoo.fr</t>
  </si>
  <si>
    <t>Gléron, Baptiste</t>
  </si>
  <si>
    <t>katell@jean-d-cancale.com</t>
  </si>
  <si>
    <t>Derwiche, Adnane</t>
  </si>
  <si>
    <t>LAJEUNESSE</t>
  </si>
  <si>
    <t>H2M1S4</t>
  </si>
  <si>
    <t>adnane.derwiche@gmail.com</t>
  </si>
  <si>
    <t>Doumbia, Siriman</t>
  </si>
  <si>
    <t>RUE TURCOT</t>
  </si>
  <si>
    <t>H4C1L2</t>
  </si>
  <si>
    <t>sirixdsg@gmail.com</t>
  </si>
  <si>
    <t>Kendi, Abdelkrim</t>
  </si>
  <si>
    <t>BOULEVARD LÉVESQUE OUEST</t>
  </si>
  <si>
    <t>H7V1E9</t>
  </si>
  <si>
    <t>kendi.k@outlook.fr</t>
  </si>
  <si>
    <t>Marcotte, Sylvie</t>
  </si>
  <si>
    <t>RUE MARCEL-DOSTIE</t>
  </si>
  <si>
    <t>LES COTEAUX</t>
  </si>
  <si>
    <t>J7X0B8</t>
  </si>
  <si>
    <t>sylviemarcotte@bell.net</t>
  </si>
  <si>
    <t>Porlier, Karine</t>
  </si>
  <si>
    <t>PINCOURT</t>
  </si>
  <si>
    <t>J7W5K8</t>
  </si>
  <si>
    <t>kariporlier@outlook.com</t>
  </si>
  <si>
    <t>Bagui, Malik</t>
  </si>
  <si>
    <t>H1M1G9</t>
  </si>
  <si>
    <t>samirkwenz@gmail.com</t>
  </si>
  <si>
    <t>Boh, Babacar</t>
  </si>
  <si>
    <t>AVENUE DES PINS OUEST</t>
  </si>
  <si>
    <t>H3G1B1</t>
  </si>
  <si>
    <t>boh.babacar@gmail.com</t>
  </si>
  <si>
    <t>Riopel, Lyne</t>
  </si>
  <si>
    <t>RUE MILTON</t>
  </si>
  <si>
    <t>J6J3M2</t>
  </si>
  <si>
    <t>lriopel@hotmail.ca</t>
  </si>
  <si>
    <t>Elatrach, Abdessattar</t>
  </si>
  <si>
    <t>CROISSANT DU RUISSEAU</t>
  </si>
  <si>
    <t>H4L1E2</t>
  </si>
  <si>
    <t>alatrach1979@hotmail.com</t>
  </si>
  <si>
    <t>SEPT-ÎLES</t>
  </si>
  <si>
    <t>Rodriguez Huertas, Gloria Isabel</t>
  </si>
  <si>
    <t>RUE IMELDA</t>
  </si>
  <si>
    <t>H7P5V3</t>
  </si>
  <si>
    <t>girh29@hotmail.com</t>
  </si>
  <si>
    <t>Zara, Faycal Ramat</t>
  </si>
  <si>
    <t>COURTRAI</t>
  </si>
  <si>
    <t>faycalramatzara@gmail.com</t>
  </si>
  <si>
    <t>RUE OUIMET</t>
  </si>
  <si>
    <t>Cavliuc, Mariana</t>
  </si>
  <si>
    <t>DE L'HÔTEL-DE-VILLE BLVD</t>
  </si>
  <si>
    <t>H7X3P1</t>
  </si>
  <si>
    <t>mcavliuc@yahoo.com</t>
  </si>
  <si>
    <t>Giraldo Quiroga, Mauricio Alejandro</t>
  </si>
  <si>
    <t>maogiraldo@hotmail.com</t>
  </si>
  <si>
    <t>Laklach, Anass</t>
  </si>
  <si>
    <t>PLACE BONPART</t>
  </si>
  <si>
    <t>H1S1Y3</t>
  </si>
  <si>
    <t>anass.laklach57@gmail.com</t>
  </si>
  <si>
    <t>Fakhri, Lina</t>
  </si>
  <si>
    <t>H4R1P3</t>
  </si>
  <si>
    <t>linafakhri848@gmail.com</t>
  </si>
  <si>
    <t>Fatier, Théo</t>
  </si>
  <si>
    <t>theofatier.ca@gmail.com</t>
  </si>
  <si>
    <t>Illan, Juan</t>
  </si>
  <si>
    <t>H2L1J1</t>
  </si>
  <si>
    <t>juan.illan@icloud.com</t>
  </si>
  <si>
    <t>Tulysse, Winter</t>
  </si>
  <si>
    <t>CHEMIN DE LA NORMANDIE</t>
  </si>
  <si>
    <t>H7G2B2</t>
  </si>
  <si>
    <t>winter.tulysse@enap.ca</t>
  </si>
  <si>
    <t>Godard, Thomas</t>
  </si>
  <si>
    <t>thomasgodardpro@gmail.com</t>
  </si>
  <si>
    <t>Cloué, Amaury</t>
  </si>
  <si>
    <t>amaury.scb@gmail.com</t>
  </si>
  <si>
    <t>Jomas, Bastien</t>
  </si>
  <si>
    <t>bastienfoot21120@gmail.com</t>
  </si>
  <si>
    <t>Molyn, Elsa Lucie Yvette</t>
  </si>
  <si>
    <t>elsa.molyn@gmail.com</t>
  </si>
  <si>
    <t>Tchoungui, Thomas</t>
  </si>
  <si>
    <t>thomastchoungui@icloud.com</t>
  </si>
  <si>
    <t>Banneau, Maëlle</t>
  </si>
  <si>
    <t>maelle.banneau@orange.fr</t>
  </si>
  <si>
    <t>Le Bastard, Lucie</t>
  </si>
  <si>
    <t>lucie.lebastard@hotmail.com</t>
  </si>
  <si>
    <t>Blanc, Benjamin</t>
  </si>
  <si>
    <t>Benjam1Blanc13@gmail.com</t>
  </si>
  <si>
    <t>Aubert, Eva Marie</t>
  </si>
  <si>
    <t>DE BRÉBEUF</t>
  </si>
  <si>
    <t>H2J3L3</t>
  </si>
  <si>
    <t>eva.aubert42000@gmail.com</t>
  </si>
  <si>
    <t>Mbokolo Bongeli, Christvie</t>
  </si>
  <si>
    <t>christvie.naweji@icloud.com</t>
  </si>
  <si>
    <t>Viet, Camille</t>
  </si>
  <si>
    <t>H1T3G7</t>
  </si>
  <si>
    <t>camilleviet94@gmail.com</t>
  </si>
  <si>
    <t>Nabil, Fatima Zahra</t>
  </si>
  <si>
    <t>fatimazahranabil23@gmail.com</t>
  </si>
  <si>
    <t>Ngatabussi Meupe, Kelly Christelle</t>
  </si>
  <si>
    <t>kellyngatabussi03@gmail.com</t>
  </si>
  <si>
    <t>Sagbahi, Netroh Anselme</t>
  </si>
  <si>
    <t>netrohanselme@gmail.com</t>
  </si>
  <si>
    <t>Mansouri, Amine</t>
  </si>
  <si>
    <t>AVE SAINT KEVIN</t>
  </si>
  <si>
    <t>H3T1H7</t>
  </si>
  <si>
    <t>aminemansouri171@gmail.com</t>
  </si>
  <si>
    <t>Allechi, Didier</t>
  </si>
  <si>
    <t>allechididier@gmail.com</t>
  </si>
  <si>
    <t>Dahiote, Sie Jean-Marc</t>
  </si>
  <si>
    <t>RUE DUDEMAINE</t>
  </si>
  <si>
    <t>H4J1P2</t>
  </si>
  <si>
    <t>jmdahiote@gmail.com</t>
  </si>
  <si>
    <t>Biampinga, Angie Noelle</t>
  </si>
  <si>
    <t>CH DE LA CÔTE-SAINTE-CATHERINE</t>
  </si>
  <si>
    <t>H3T1C8</t>
  </si>
  <si>
    <t>angienoellebiampinga@gmail.com</t>
  </si>
  <si>
    <t>Matar, Rachid</t>
  </si>
  <si>
    <t>J4J3K5</t>
  </si>
  <si>
    <t>matar92rachid@gmail.com</t>
  </si>
  <si>
    <t>Mfopou Njoudap, Iliassou</t>
  </si>
  <si>
    <t>sobailias@gmail.com</t>
  </si>
  <si>
    <t>Kra, Yao Nicodeme</t>
  </si>
  <si>
    <t>RUE NOTRE DAME EST</t>
  </si>
  <si>
    <t>H1L3P2</t>
  </si>
  <si>
    <t>nicodemekra@gmail.com</t>
  </si>
  <si>
    <t>Panazza, Josué</t>
  </si>
  <si>
    <t>H2E1W3</t>
  </si>
  <si>
    <t>panazza.jos@gmail.com</t>
  </si>
  <si>
    <t>Abdallah, Stéphie</t>
  </si>
  <si>
    <t>abdallahstephie@gmail.com</t>
  </si>
  <si>
    <t>Ouazar, Mayssa</t>
  </si>
  <si>
    <t>SAURIOL EST</t>
  </si>
  <si>
    <t>H2C1V4</t>
  </si>
  <si>
    <t>maay.baas@hotmail.com</t>
  </si>
  <si>
    <t>H2J2S7</t>
  </si>
  <si>
    <t>Sarr, Nicole Aissatou</t>
  </si>
  <si>
    <t>nicolesarr@hotmail.fr</t>
  </si>
  <si>
    <t>Salley, Anouk</t>
  </si>
  <si>
    <t>AVENUE ROSLYN</t>
  </si>
  <si>
    <t>H3W2L2</t>
  </si>
  <si>
    <t>salley.anouk@outlook.fr</t>
  </si>
  <si>
    <t>Tertrais, Bertille</t>
  </si>
  <si>
    <t>RUE DU FORT-LORETTE</t>
  </si>
  <si>
    <t>H2C3C8</t>
  </si>
  <si>
    <t>bertille.tertrais@gmail.com</t>
  </si>
  <si>
    <t>Matiushenok, Ksenia</t>
  </si>
  <si>
    <t>ksenia.fr05@gmail.com</t>
  </si>
  <si>
    <t>Lopes, Lowan</t>
  </si>
  <si>
    <t>H3L2J4</t>
  </si>
  <si>
    <t>lowanlopes@icloud.com</t>
  </si>
  <si>
    <t>Geai, Bérénice</t>
  </si>
  <si>
    <t>geaiberenice2@gmail.com</t>
  </si>
  <si>
    <t>Adebajo, Eva</t>
  </si>
  <si>
    <t>evaadebajo@gmail.com</t>
  </si>
  <si>
    <t>Ayissi Messanga, Nadège Vannessa</t>
  </si>
  <si>
    <t>vannessamessanga91@gmail.com</t>
  </si>
  <si>
    <t>Yao, Charles</t>
  </si>
  <si>
    <t>charlesadamoh@gmail.com</t>
  </si>
  <si>
    <t>Belle Mbende, Marie Paule</t>
  </si>
  <si>
    <t>H1N1Z1</t>
  </si>
  <si>
    <t>paulema38@yahoo.com</t>
  </si>
  <si>
    <t>Girault, Zoé</t>
  </si>
  <si>
    <t>zoegirault385@gmail.com</t>
  </si>
  <si>
    <t>Delous, Romane</t>
  </si>
  <si>
    <t>romanedelous.pro@gmail.com</t>
  </si>
  <si>
    <t>Chainey, Benoît</t>
  </si>
  <si>
    <t>H1T2V1</t>
  </si>
  <si>
    <t>cinetiben@gmail.com</t>
  </si>
  <si>
    <t>Amrhar, Abderrahmane</t>
  </si>
  <si>
    <t>DE L'ARMISTICE</t>
  </si>
  <si>
    <t>J5Z2C6</t>
  </si>
  <si>
    <t>amrharabder@gmail.com</t>
  </si>
  <si>
    <t>Lavoie, Mehdi-Serge</t>
  </si>
  <si>
    <t>RUE GLOBERT</t>
  </si>
  <si>
    <t>H3W2E6</t>
  </si>
  <si>
    <t>mehdisergel@gmail.com</t>
  </si>
  <si>
    <t>Lessard, Matthew</t>
  </si>
  <si>
    <t>DE LA OUAREAU</t>
  </si>
  <si>
    <t>J5Y0C6</t>
  </si>
  <si>
    <t>stefianne@videotron.ca</t>
  </si>
  <si>
    <t>Casséus, Jordany</t>
  </si>
  <si>
    <t>RUE CORMIER</t>
  </si>
  <si>
    <t>J3G3V3</t>
  </si>
  <si>
    <t>jordanycaseus@gmail.com</t>
  </si>
  <si>
    <t>Pomerleau, Luca</t>
  </si>
  <si>
    <t>H1T3A7</t>
  </si>
  <si>
    <t>luca.pomerleau2005@gmail.com</t>
  </si>
  <si>
    <t>Laval, Athina</t>
  </si>
  <si>
    <t>RUE ROUVIÈRE</t>
  </si>
  <si>
    <t>J4L4J9</t>
  </si>
  <si>
    <t>athina.laval@gmail.com</t>
  </si>
  <si>
    <t>Boulerice, Julia-Catherine</t>
  </si>
  <si>
    <t>AVENUE PLAMONDON</t>
  </si>
  <si>
    <t>H3W1E4</t>
  </si>
  <si>
    <t>boulericejc1@gmail.com</t>
  </si>
  <si>
    <t>Lemieux, Laura-Lee</t>
  </si>
  <si>
    <t>J5W1X9</t>
  </si>
  <si>
    <t>Elvenia2007@gmail.com</t>
  </si>
  <si>
    <t>Belande, Pagalie</t>
  </si>
  <si>
    <t>AVENUE BALL</t>
  </si>
  <si>
    <t>H3N1H7</t>
  </si>
  <si>
    <t>tinab8056@gmail.com</t>
  </si>
  <si>
    <t>Roy, Céleste</t>
  </si>
  <si>
    <t>RUE LABADIE</t>
  </si>
  <si>
    <t>H2V2J9</t>
  </si>
  <si>
    <t>Celesteroy10@icloud.com</t>
  </si>
  <si>
    <t>Chenh, Phung Nhi</t>
  </si>
  <si>
    <t>AVENUE LAJOIE</t>
  </si>
  <si>
    <t>H2V1P4</t>
  </si>
  <si>
    <t>nhichenh11@gmail.com</t>
  </si>
  <si>
    <t>Briand, Catherine</t>
  </si>
  <si>
    <t>RUE DAMIEN-GAUTHIER</t>
  </si>
  <si>
    <t>H1A5S5</t>
  </si>
  <si>
    <t>briandc1@edu.csspi.ca</t>
  </si>
  <si>
    <t>Sahoneh, Mahamadou</t>
  </si>
  <si>
    <t>H3W1C8</t>
  </si>
  <si>
    <t>massirehsahoneh@gmail.com</t>
  </si>
  <si>
    <t>Normandeau, Gabrielle</t>
  </si>
  <si>
    <t>J3Y2G1</t>
  </si>
  <si>
    <t>gn2007@outlook.com</t>
  </si>
  <si>
    <t>Bérubé-Courtois, Vanessa</t>
  </si>
  <si>
    <t>H1Y1K4</t>
  </si>
  <si>
    <t>vanessa.berube@hotmail.ca</t>
  </si>
  <si>
    <t>Bazin, Sacha</t>
  </si>
  <si>
    <t>H1T2E4</t>
  </si>
  <si>
    <t>bazin.sach@gmail.com</t>
  </si>
  <si>
    <t>Bazinet-Pageau, Émilie</t>
  </si>
  <si>
    <t>H8T2E5</t>
  </si>
  <si>
    <t>emilie.bpageau@gmail.com</t>
  </si>
  <si>
    <t>Nzau, Madiya</t>
  </si>
  <si>
    <t>prisciladinha2007@gmail.com</t>
  </si>
  <si>
    <t>Lefebvre, Antoine</t>
  </si>
  <si>
    <t>AV ROBICHAUD</t>
  </si>
  <si>
    <t>SAINT-ÉLIE-DE-CAXTON</t>
  </si>
  <si>
    <t>G0X2N0</t>
  </si>
  <si>
    <t>antoineleref@gmail.com</t>
  </si>
  <si>
    <t>Gagnon-Querton, Lycia</t>
  </si>
  <si>
    <t>H1B4R4</t>
  </si>
  <si>
    <t>lycia.gagnon@gmail.com</t>
  </si>
  <si>
    <t>Potvin, Émile</t>
  </si>
  <si>
    <t>H1T3M4</t>
  </si>
  <si>
    <t>emilep08@icloud.com</t>
  </si>
  <si>
    <t>Benchernine, Asma</t>
  </si>
  <si>
    <t>H1L4P1</t>
  </si>
  <si>
    <t>aaben0911@gmail.com</t>
  </si>
  <si>
    <t>Lapointe, Nadia</t>
  </si>
  <si>
    <t>H1Y3A8</t>
  </si>
  <si>
    <t>nadialapointe73@gmail.com</t>
  </si>
  <si>
    <t>Maldonado, Jayac</t>
  </si>
  <si>
    <t>J5Z4W2</t>
  </si>
  <si>
    <t>jayac1357@gmail.com</t>
  </si>
  <si>
    <t>Harvey, Azel</t>
  </si>
  <si>
    <t>BOULEVARD. PIERRE-BERNARD</t>
  </si>
  <si>
    <t>H1K2R9</t>
  </si>
  <si>
    <t>azel.harvey@gmail.com</t>
  </si>
  <si>
    <t>Savard, Mariloup</t>
  </si>
  <si>
    <t>J5Y3L8</t>
  </si>
  <si>
    <t>mariloupsavard@gmail.com</t>
  </si>
  <si>
    <t>Reneault, Emilie</t>
  </si>
  <si>
    <t>DU PONT</t>
  </si>
  <si>
    <t>J3M0E5</t>
  </si>
  <si>
    <t>emiliereneault8@gmail.com</t>
  </si>
  <si>
    <t>Juarez, Nina</t>
  </si>
  <si>
    <t>RUE TAILLEFER</t>
  </si>
  <si>
    <t>H7L5P4</t>
  </si>
  <si>
    <t>ninajuarezd@gmail.com</t>
  </si>
  <si>
    <t>Xu, Wanlin</t>
  </si>
  <si>
    <t>H1T1L1</t>
  </si>
  <si>
    <t>apss52200@gmail.com</t>
  </si>
  <si>
    <t>Bellemare, Charles</t>
  </si>
  <si>
    <t>J5Y3T1</t>
  </si>
  <si>
    <t>charlesbellemare7@gmail.com</t>
  </si>
  <si>
    <t>Masciotra, Leandro</t>
  </si>
  <si>
    <t>2E RUE</t>
  </si>
  <si>
    <t>H1C1X3</t>
  </si>
  <si>
    <t>leandromasciotra.lm@gmail.com</t>
  </si>
  <si>
    <t>Dinelle, Leia</t>
  </si>
  <si>
    <t>H1K3G3</t>
  </si>
  <si>
    <t>dinellel.17@hotmail.com</t>
  </si>
  <si>
    <t>Mokhtari, Chaima</t>
  </si>
  <si>
    <t>chaimamokhtari10@gmail.com</t>
  </si>
  <si>
    <t>Baird, Shaiana</t>
  </si>
  <si>
    <t>RUE LAPIERRE</t>
  </si>
  <si>
    <t>H1G3R9</t>
  </si>
  <si>
    <t>shaianabaird12@gmail.com</t>
  </si>
  <si>
    <t>Aichour, Yara</t>
  </si>
  <si>
    <t>aichouryara13@gmail.com</t>
  </si>
  <si>
    <t>Dhaou, Wajdy</t>
  </si>
  <si>
    <t>AV SAINT-KEVIN</t>
  </si>
  <si>
    <t>H3W1N9</t>
  </si>
  <si>
    <t>wajdy.dh@gmail.com</t>
  </si>
  <si>
    <t>Bengamra, Youness</t>
  </si>
  <si>
    <t>47E AVENUE</t>
  </si>
  <si>
    <t>H1A2Z1</t>
  </si>
  <si>
    <t>younessbengamra@outlook.com</t>
  </si>
  <si>
    <t>Pascual, Estefan Ernesto</t>
  </si>
  <si>
    <t>AVENUE MARCEL-FARIBAULT</t>
  </si>
  <si>
    <t>H1A5L4</t>
  </si>
  <si>
    <t>estecual07@hotmail.com</t>
  </si>
  <si>
    <t>Abounouar, Hajar</t>
  </si>
  <si>
    <t>H1G5Y1</t>
  </si>
  <si>
    <t>hajar.pme@hotmail.com</t>
  </si>
  <si>
    <t>Gagnon, Jérémie</t>
  </si>
  <si>
    <t>MONTEE SANCHE</t>
  </si>
  <si>
    <t>J7G2C9</t>
  </si>
  <si>
    <t>jega93@outlook.fr</t>
  </si>
  <si>
    <t>Said, Aman</t>
  </si>
  <si>
    <t>RUE AUMAIS</t>
  </si>
  <si>
    <t>H9H4Y3</t>
  </si>
  <si>
    <t>amansaid2323@gmail.com</t>
  </si>
  <si>
    <t>Dauphin-Massicotte, Alice</t>
  </si>
  <si>
    <t>RUE SIMETIN</t>
  </si>
  <si>
    <t>J7N0Z8</t>
  </si>
  <si>
    <t>alicedauphinm13@gmail.com</t>
  </si>
  <si>
    <t>Chagnon, Nathan</t>
  </si>
  <si>
    <t>RUE GIBEAULT</t>
  </si>
  <si>
    <t>H1A4G9</t>
  </si>
  <si>
    <t>nathan10032007@gmail.com</t>
  </si>
  <si>
    <t>Ricci, Maddox</t>
  </si>
  <si>
    <t>H1A1T4</t>
  </si>
  <si>
    <t>maddoxricci@hotmail.com</t>
  </si>
  <si>
    <t>Desparois, Annie-Claude</t>
  </si>
  <si>
    <t>RUE BOUSQUET</t>
  </si>
  <si>
    <t>H7G3H7</t>
  </si>
  <si>
    <t>leanne.baril@yahoo.com</t>
  </si>
  <si>
    <t>Leclerc, Ghislain</t>
  </si>
  <si>
    <t>RUE DE LAVOURS</t>
  </si>
  <si>
    <t>J6Y0G2</t>
  </si>
  <si>
    <t>ghisleclerc@hotmail.com</t>
  </si>
  <si>
    <t>Massicotte, Carole</t>
  </si>
  <si>
    <t>RUE MONCANA</t>
  </si>
  <si>
    <t>J6A4K9</t>
  </si>
  <si>
    <t>massicotte_carole@hotmail.com</t>
  </si>
  <si>
    <t>Deveau, Sonya</t>
  </si>
  <si>
    <t>CHEMIN DE TILLY</t>
  </si>
  <si>
    <t>SAINT-ANTOINE-DE-TILLY</t>
  </si>
  <si>
    <t>G0S2C0</t>
  </si>
  <si>
    <t>sonyadeveau@videotron.ca</t>
  </si>
  <si>
    <t>Hilali, Ania</t>
  </si>
  <si>
    <t>RUE FRED-BARRY</t>
  </si>
  <si>
    <t>H7S1T9</t>
  </si>
  <si>
    <t>hilaliania@hotmail.com</t>
  </si>
  <si>
    <t>Paquette, Anouk</t>
  </si>
  <si>
    <t>CHEMIN DU LAC SIR JOHN</t>
  </si>
  <si>
    <t>LACHUTE</t>
  </si>
  <si>
    <t>J8H4M5</t>
  </si>
  <si>
    <t>anouk.paquette2002@outlook.com</t>
  </si>
  <si>
    <t>Ho, Do Trieu Quan Andy</t>
  </si>
  <si>
    <t>AVENUE CHAUVIN</t>
  </si>
  <si>
    <t>H1M1K5</t>
  </si>
  <si>
    <t>dotrieuquanandy.ho.438@gmail.com</t>
  </si>
  <si>
    <t>Jones, Liam</t>
  </si>
  <si>
    <t>H2G2K9</t>
  </si>
  <si>
    <t>liamj7385@gmail.com</t>
  </si>
  <si>
    <t>Zambetti, Sophia Valerie Elizabeth</t>
  </si>
  <si>
    <t>H2G2J6</t>
  </si>
  <si>
    <t>sophiazambetti@gmail.com</t>
  </si>
  <si>
    <t>Gazi, Semer</t>
  </si>
  <si>
    <t>RUE THOMAS-CHAPAIS</t>
  </si>
  <si>
    <t>H7V3K4</t>
  </si>
  <si>
    <t>semergazi@gmail.com</t>
  </si>
  <si>
    <t>Sall, Mouhamadou Moukhtar</t>
  </si>
  <si>
    <t>H2A3B4</t>
  </si>
  <si>
    <t>moukhtarsall360@gmail.com</t>
  </si>
  <si>
    <t>Casas Perez, Jenifer</t>
  </si>
  <si>
    <t>H1X2Y5</t>
  </si>
  <si>
    <t>jenicasasp@gmail.com</t>
  </si>
  <si>
    <t>Ferland-Dupont, Rosalie</t>
  </si>
  <si>
    <t>SAINT-GEORGES</t>
  </si>
  <si>
    <t>J6E2B2</t>
  </si>
  <si>
    <t>ferlanddupontmars@gmail.com</t>
  </si>
  <si>
    <t>Boisart, Ingrid</t>
  </si>
  <si>
    <t>RUE DEMERS</t>
  </si>
  <si>
    <t>H7L3M6</t>
  </si>
  <si>
    <t>ingrid.boisart@hotmail.com</t>
  </si>
  <si>
    <t>Kadri, Baraa</t>
  </si>
  <si>
    <t>baraakadri12@gmail.com</t>
  </si>
  <si>
    <t>Raymond, Maélie</t>
  </si>
  <si>
    <t>RUE BOISJOLI</t>
  </si>
  <si>
    <t>SAINT-CONSTANT</t>
  </si>
  <si>
    <t>J5A0A5</t>
  </si>
  <si>
    <t>maelieraymond9@gmail.com</t>
  </si>
  <si>
    <t>Djafri, Younes</t>
  </si>
  <si>
    <t>AV DE BELLEVILLE</t>
  </si>
  <si>
    <t>H1H5A1</t>
  </si>
  <si>
    <t>younesdjafri25@gmail.com</t>
  </si>
  <si>
    <t>Jemai, Rania</t>
  </si>
  <si>
    <t>CROISSANT GAUDET</t>
  </si>
  <si>
    <t>J5Z4X2</t>
  </si>
  <si>
    <t>raniajemai1995@gmail.com</t>
  </si>
  <si>
    <t>Roy, Maïka</t>
  </si>
  <si>
    <t>PIERRE THOMAS-HURTEAU</t>
  </si>
  <si>
    <t>J3Y8S5</t>
  </si>
  <si>
    <t>maisoccer36@gmail.com</t>
  </si>
  <si>
    <t>Vinette, Rafaëlle</t>
  </si>
  <si>
    <t>vinetter07@gmail.com</t>
  </si>
  <si>
    <t>Letendre, Ludivine</t>
  </si>
  <si>
    <t>ludivinelet@gmail.com</t>
  </si>
  <si>
    <t>Dupont, Roxane</t>
  </si>
  <si>
    <t>RTE MARIE-VICTORIN</t>
  </si>
  <si>
    <t>J3X0J7</t>
  </si>
  <si>
    <t>roxanedupont@outlook.com</t>
  </si>
  <si>
    <t>Tarabichi, Amin</t>
  </si>
  <si>
    <t>AVENUE CHÉNIER</t>
  </si>
  <si>
    <t>H1K2B8</t>
  </si>
  <si>
    <t>amin.tarabichi@gmail.com</t>
  </si>
  <si>
    <t>Houde, Jade</t>
  </si>
  <si>
    <t>Jadehoude567@gmail.com</t>
  </si>
  <si>
    <t>Jimenez Murillo, Jocelyn Anahi</t>
  </si>
  <si>
    <t>RUE DESPATIE</t>
  </si>
  <si>
    <t>J6W5G6</t>
  </si>
  <si>
    <t>Anahisjam@gmail.com</t>
  </si>
  <si>
    <t>Longpré, David</t>
  </si>
  <si>
    <t>RUE HOCQUART</t>
  </si>
  <si>
    <t>H7E3N8</t>
  </si>
  <si>
    <t>DavidLongpreCourrier@hotmail.com</t>
  </si>
  <si>
    <t>Shakeel, Subhan</t>
  </si>
  <si>
    <t>RUE DE CAP-CHAT</t>
  </si>
  <si>
    <t>H1R3B2</t>
  </si>
  <si>
    <t>shakeels2006@gmail.com</t>
  </si>
  <si>
    <t>Faridi, Darian</t>
  </si>
  <si>
    <t>H2V4K4</t>
  </si>
  <si>
    <t>darianfaridi@gmail.com</t>
  </si>
  <si>
    <t>Rachik, Aya</t>
  </si>
  <si>
    <t>RUE FRANÇOIS-BOIVIN</t>
  </si>
  <si>
    <t>H1M3E8</t>
  </si>
  <si>
    <t>Ayarachik2021@gmail.com</t>
  </si>
  <si>
    <t>Sadoudi, Imene</t>
  </si>
  <si>
    <t>H1T2X8</t>
  </si>
  <si>
    <t>imenesad05@gmail.com</t>
  </si>
  <si>
    <t>Pellicano, Nohémy</t>
  </si>
  <si>
    <t>H1G3L3</t>
  </si>
  <si>
    <t>nohemy.pellicano2022@gmail.com</t>
  </si>
  <si>
    <t>Cadieux, Nathan</t>
  </si>
  <si>
    <t>ncadieux@pcwca.com</t>
  </si>
  <si>
    <t>Goh, Yéli</t>
  </si>
  <si>
    <t>gohmariemilan28@gmail.com</t>
  </si>
  <si>
    <t>Hattag, Malak</t>
  </si>
  <si>
    <t>PLACE DE MALICORNE</t>
  </si>
  <si>
    <t>malouemice@hotmail.com</t>
  </si>
  <si>
    <t>Mathurin, Maysha Merry</t>
  </si>
  <si>
    <t>J5Y4A3</t>
  </si>
  <si>
    <t>phellysmathurin@gmail.com</t>
  </si>
  <si>
    <t>El Nahtawy, Noura</t>
  </si>
  <si>
    <t>AVENUE QUINTAL</t>
  </si>
  <si>
    <t>H7N4W5</t>
  </si>
  <si>
    <t>elnahtawynoura@gmail.com</t>
  </si>
  <si>
    <t>Lehsaini, Sarah</t>
  </si>
  <si>
    <t>H1Z2R4</t>
  </si>
  <si>
    <t>lesnisarah@gmail.com</t>
  </si>
  <si>
    <t>Vadeboncoeur, Karianne</t>
  </si>
  <si>
    <t>AVENUE DE LA RENAISSANCE</t>
  </si>
  <si>
    <t>Karianne.Chanel@gmail.com</t>
  </si>
  <si>
    <t>Houle-Khedher, Nadia</t>
  </si>
  <si>
    <t>AVENUE DES CASCADES</t>
  </si>
  <si>
    <t>G1E2K1</t>
  </si>
  <si>
    <t>nadia.houle26@gmail.com</t>
  </si>
  <si>
    <t>Patel, Sohan Bharat</t>
  </si>
  <si>
    <t>BOULEVARD DE LACADIE</t>
  </si>
  <si>
    <t>H3N2V9</t>
  </si>
  <si>
    <t>sohan_patel26@icloud.com</t>
  </si>
  <si>
    <t>Cenestant, Charlineda</t>
  </si>
  <si>
    <t>charlineda_c@hotmail.com</t>
  </si>
  <si>
    <t>Lacelle Aguilar, Denise Sophie</t>
  </si>
  <si>
    <t>H2M1N3</t>
  </si>
  <si>
    <t>deniselacelleaguilar@gmail.com</t>
  </si>
  <si>
    <t>Belderrar, Hadjer</t>
  </si>
  <si>
    <t>beladjer@hotmail.com</t>
  </si>
  <si>
    <t>Malamba, Johanan</t>
  </si>
  <si>
    <t>J5Y4B9</t>
  </si>
  <si>
    <t>johananmalamba007@outlook.com</t>
  </si>
  <si>
    <t>Bassowou, Horatio-Bright</t>
  </si>
  <si>
    <t>RUE DE CHAMBLY</t>
  </si>
  <si>
    <t>H1X3J6</t>
  </si>
  <si>
    <t>bassowouho@icloud.com</t>
  </si>
  <si>
    <t>Malo, Ève</t>
  </si>
  <si>
    <t>BOULEVARD DE MAISONNEUVE OUEST</t>
  </si>
  <si>
    <t>H3A0A2</t>
  </si>
  <si>
    <t>eve.malo@groupemalo.com</t>
  </si>
  <si>
    <t>Haddouchen, Bassma</t>
  </si>
  <si>
    <t>J7C5G5</t>
  </si>
  <si>
    <t>bassma161@hotmail.com</t>
  </si>
  <si>
    <t>Tran, Christina</t>
  </si>
  <si>
    <t>H2K2Z2</t>
  </si>
  <si>
    <t>xchristinatran@gmail.com</t>
  </si>
  <si>
    <t>Doffou, Gabriel Yvan</t>
  </si>
  <si>
    <t>H1A5C5</t>
  </si>
  <si>
    <t>gabriel12131zz@gmail.com</t>
  </si>
  <si>
    <t>Yimelé Gaintse, Kerida</t>
  </si>
  <si>
    <t>31E AV</t>
  </si>
  <si>
    <t>H1A3W8</t>
  </si>
  <si>
    <t>yimelegaintsekerida@gmail.com</t>
  </si>
  <si>
    <t>Souare, Malick</t>
  </si>
  <si>
    <t>H2L3W4</t>
  </si>
  <si>
    <t>malick.souare1234@gmail.com</t>
  </si>
  <si>
    <t>Breigeat, Martin Etienne Alexandre</t>
  </si>
  <si>
    <t>CLARK</t>
  </si>
  <si>
    <t>H2S3G2</t>
  </si>
  <si>
    <t>breigeat.m@gmail.com</t>
  </si>
  <si>
    <t>RUE OLIVIER-LEJEUNE</t>
  </si>
  <si>
    <t>Tessier, Cassandra</t>
  </si>
  <si>
    <t>H1G1J8</t>
  </si>
  <si>
    <t>cassandratessier@hotmail.fr</t>
  </si>
  <si>
    <t>Carpentier, Charlie</t>
  </si>
  <si>
    <t>RUE GAUGUIN</t>
  </si>
  <si>
    <t>charliec.4601@gmail.com</t>
  </si>
  <si>
    <t>Lopez, Carolina Eugenia</t>
  </si>
  <si>
    <t>H2S2C8</t>
  </si>
  <si>
    <t>carotruff@proton.me</t>
  </si>
  <si>
    <t>Gaboury-Boulianne, Rachel</t>
  </si>
  <si>
    <t>H4G2V6</t>
  </si>
  <si>
    <t>rachel.gaboury@gmail.com</t>
  </si>
  <si>
    <t>Agnant, Roldny Loudjerry</t>
  </si>
  <si>
    <t>H1K2P2</t>
  </si>
  <si>
    <t>roldny16@gmail.com</t>
  </si>
  <si>
    <t>Perreault, Pascale</t>
  </si>
  <si>
    <t>RUE BEAUDRY</t>
  </si>
  <si>
    <t>H2L3G4</t>
  </si>
  <si>
    <t>pascaleidoscope@gmail.com</t>
  </si>
  <si>
    <t>Belotte, Fabiola</t>
  </si>
  <si>
    <t>PLACE DE LUSSAC</t>
  </si>
  <si>
    <t>J6Y1E6</t>
  </si>
  <si>
    <t>fabiola.belotte@gmail.com</t>
  </si>
  <si>
    <t>Lavallée, Johanne</t>
  </si>
  <si>
    <t>H1L1A8</t>
  </si>
  <si>
    <t>johannelavallee2@gmail.com</t>
  </si>
  <si>
    <t>Scarpino, Julie</t>
  </si>
  <si>
    <t>AVENUE DE L'HÔTEL-DE-VILLE</t>
  </si>
  <si>
    <t>H2W2H1</t>
  </si>
  <si>
    <t>scarpinojulie@gmail.com</t>
  </si>
  <si>
    <t>Campeau, Stéphanie</t>
  </si>
  <si>
    <t>24 E AVENUE</t>
  </si>
  <si>
    <t>stefcampo@hotmail.com</t>
  </si>
  <si>
    <t>Malouin, Émily</t>
  </si>
  <si>
    <t>RUE DE MEDOC</t>
  </si>
  <si>
    <t>H7N1Y8</t>
  </si>
  <si>
    <t>emilymalouin@live.fr</t>
  </si>
  <si>
    <t>Ikhlef, Anais</t>
  </si>
  <si>
    <t>H2G1G7</t>
  </si>
  <si>
    <t>ikhlefa23@outlook.com</t>
  </si>
  <si>
    <t>Goudreau-Lantin, Lucie-Maude</t>
  </si>
  <si>
    <t>ROUTE 132</t>
  </si>
  <si>
    <t>NEWPORT</t>
  </si>
  <si>
    <t>G0C2A0</t>
  </si>
  <si>
    <t>lucieapple21@hotmail.com</t>
  </si>
  <si>
    <t>Sebag, Gabriel</t>
  </si>
  <si>
    <t>H4M1L2</t>
  </si>
  <si>
    <t>gabsebag@icloud.com</t>
  </si>
  <si>
    <t>Vil, Luc Eben-Ezer</t>
  </si>
  <si>
    <t>H1H1S6</t>
  </si>
  <si>
    <t>lucebenezervil@gmail.com</t>
  </si>
  <si>
    <t>Gaudreault, Jeanne</t>
  </si>
  <si>
    <t>H1Y1N9</t>
  </si>
  <si>
    <t>gaudreault.jeanne19@gmail.com</t>
  </si>
  <si>
    <t>Albujar-Barcelli, Guliano</t>
  </si>
  <si>
    <t>RUE DE VENDÉE</t>
  </si>
  <si>
    <t>H1G2B1</t>
  </si>
  <si>
    <t>gulianoalbujar@gmail.com</t>
  </si>
  <si>
    <t>Vazquez Mendez, Ary Jocsan</t>
  </si>
  <si>
    <t>H1B3B6</t>
  </si>
  <si>
    <t>jocsanvm11@gmail.com</t>
  </si>
  <si>
    <t>Laganière, Catherine</t>
  </si>
  <si>
    <t>RUE BEAUCHAMP</t>
  </si>
  <si>
    <t>J7R6N7</t>
  </si>
  <si>
    <t>catherine_laganiere8@hotmail.com</t>
  </si>
  <si>
    <t>Lebel, Léna</t>
  </si>
  <si>
    <t>RUE SAINTE-CATHERINE E</t>
  </si>
  <si>
    <t>H1V2A3</t>
  </si>
  <si>
    <t>lenalebel11@gmail.com</t>
  </si>
  <si>
    <t>Ciohodaru, Nicoleta</t>
  </si>
  <si>
    <t>RUE ALINE</t>
  </si>
  <si>
    <t>J4Z1R3</t>
  </si>
  <si>
    <t>nicoleta.c2002@yahoo.ca</t>
  </si>
  <si>
    <t>Dion, Mérédith</t>
  </si>
  <si>
    <t>RUE YVAN</t>
  </si>
  <si>
    <t>J7C2A1</t>
  </si>
  <si>
    <t>adryanne@msn.com</t>
  </si>
  <si>
    <t>Mateos-Pinto, Edgar</t>
  </si>
  <si>
    <t>H1K1C8</t>
  </si>
  <si>
    <t>vox_crasher@hotmail.com</t>
  </si>
  <si>
    <t>Picard-Aubin, Olivier</t>
  </si>
  <si>
    <t>RUE DE LANAUDIÈRE</t>
  </si>
  <si>
    <t>H2G3B2</t>
  </si>
  <si>
    <t>o.picard_aubin@icloud.com</t>
  </si>
  <si>
    <t>Lanteigne, Cynthia</t>
  </si>
  <si>
    <t>H1Y2E7</t>
  </si>
  <si>
    <t>cynthia.lanteigne@hotmail.fr</t>
  </si>
  <si>
    <t>Blanchet-Mantha, Virginie</t>
  </si>
  <si>
    <t>RUE DES LOTUS</t>
  </si>
  <si>
    <t>J7C5V1</t>
  </si>
  <si>
    <t>vbmantha26@outlook.com</t>
  </si>
  <si>
    <t>Senneville-Robert, Jeanne-Catherine</t>
  </si>
  <si>
    <t>H1Y2Z4</t>
  </si>
  <si>
    <t>sennevillejeanne@gmail.com</t>
  </si>
  <si>
    <t>Romain-Savard, Eliott</t>
  </si>
  <si>
    <t>RUE DU CANADIEN-PACIFIQUE</t>
  </si>
  <si>
    <t>H1Y3K3</t>
  </si>
  <si>
    <t>eliott.romain@icloud.com</t>
  </si>
  <si>
    <t>Nguyen, Kevin</t>
  </si>
  <si>
    <t>kevinnguyen2007papineau@gmail.com</t>
  </si>
  <si>
    <t>Addona, Megan</t>
  </si>
  <si>
    <t>BOUL. GOUIN EST</t>
  </si>
  <si>
    <t>H1E1B3</t>
  </si>
  <si>
    <t>addonamegan@gmail.com</t>
  </si>
  <si>
    <t>Côté, Arielle</t>
  </si>
  <si>
    <t>ariellecote@gmail.com</t>
  </si>
  <si>
    <t>Cousineau, Katheryne</t>
  </si>
  <si>
    <t>H2A2B8</t>
  </si>
  <si>
    <t>katherynecousineau@mail.com</t>
  </si>
  <si>
    <t>St-Hilaire, Françoise</t>
  </si>
  <si>
    <t>J3R2Y3</t>
  </si>
  <si>
    <t>francoise.st-hilaire@hotmail.com</t>
  </si>
  <si>
    <t>Patry, Hélen</t>
  </si>
  <si>
    <t>RUE DES HÉRONS</t>
  </si>
  <si>
    <t>TRÈS-SAINT-RÉDEMPTEUR</t>
  </si>
  <si>
    <t>J0P1P1</t>
  </si>
  <si>
    <t>helenpatry3@gmail.com</t>
  </si>
  <si>
    <t>Pedro, Emanuel</t>
  </si>
  <si>
    <t>H1Z1P8</t>
  </si>
  <si>
    <t>beezyocole@gmail.com</t>
  </si>
  <si>
    <t>RUE LEGAULT</t>
  </si>
  <si>
    <t>J4V3C4</t>
  </si>
  <si>
    <t>Jazib, Dawood</t>
  </si>
  <si>
    <t>RUE DE L'ACAJOU</t>
  </si>
  <si>
    <t>H4R2R8</t>
  </si>
  <si>
    <t>dajazib@gmail.com</t>
  </si>
  <si>
    <t>Potvin, Alexandre</t>
  </si>
  <si>
    <t>alexpotvin06@gmail.com</t>
  </si>
  <si>
    <t>Roberge-Dupuis, Nathan</t>
  </si>
  <si>
    <t>roberge.nat2005@gmail.com</t>
  </si>
  <si>
    <t>Garcia Rivera, Naomi</t>
  </si>
  <si>
    <t>H1T3L5</t>
  </si>
  <si>
    <t>naomigarciar2706@gmail.com</t>
  </si>
  <si>
    <t>St-Louis, Édouard</t>
  </si>
  <si>
    <t>RUE DES HAIES</t>
  </si>
  <si>
    <t>G9H3S2</t>
  </si>
  <si>
    <t>edstlouis06@gmail.com</t>
  </si>
  <si>
    <t>Beaulieu, Rosalie</t>
  </si>
  <si>
    <t>RUE DU GERFAUT</t>
  </si>
  <si>
    <t>H7L4M1</t>
  </si>
  <si>
    <t>rosaliebeaulieu7@hotmail.com</t>
  </si>
  <si>
    <t>Falardeau, Élizabeth</t>
  </si>
  <si>
    <t>RUE MICHEL-BROUILLET</t>
  </si>
  <si>
    <t>J3L6G5</t>
  </si>
  <si>
    <t>elizabeth.falardeau@gmail.com</t>
  </si>
  <si>
    <t>Lacerte, Josuah</t>
  </si>
  <si>
    <t>Lacertejosuah@gmail.com</t>
  </si>
  <si>
    <t>Theodore, Nadson Amsley</t>
  </si>
  <si>
    <t>H1A3G9</t>
  </si>
  <si>
    <t>namsleyt@gmail.com</t>
  </si>
  <si>
    <t>Batomene, Gess Louisa</t>
  </si>
  <si>
    <t>H1N1S5</t>
  </si>
  <si>
    <t>gessbatomene@gmail.com</t>
  </si>
  <si>
    <t>Courville, Elisabeth</t>
  </si>
  <si>
    <t>H1V2A1</t>
  </si>
  <si>
    <t>courvilleelisabeth3@gmail.com</t>
  </si>
  <si>
    <t>Barak, Hakki</t>
  </si>
  <si>
    <t>BOULEVARD SAINT-VITAL</t>
  </si>
  <si>
    <t>H1H4T1</t>
  </si>
  <si>
    <t>hakkimontreal@gmail.com</t>
  </si>
  <si>
    <t>Goze, Likane Michelle-Eve</t>
  </si>
  <si>
    <t>H1L1E1</t>
  </si>
  <si>
    <t>gozemichelle8@gmail.com</t>
  </si>
  <si>
    <t>Martin Bonham, August</t>
  </si>
  <si>
    <t>RUE LISA</t>
  </si>
  <si>
    <t>SAINT-BERNARD-DE-LACOLLE</t>
  </si>
  <si>
    <t>J0J1V0</t>
  </si>
  <si>
    <t>augustbonham@gmail.com</t>
  </si>
  <si>
    <t>Lessard, Aurélie</t>
  </si>
  <si>
    <t>RUE LABONTÉ</t>
  </si>
  <si>
    <t>J3L5M5</t>
  </si>
  <si>
    <t>aurelielessard99@outlook.com</t>
  </si>
  <si>
    <t>Raby, Loïc</t>
  </si>
  <si>
    <t>loicraby@hotmail.com</t>
  </si>
  <si>
    <t>Dubé, Antoine</t>
  </si>
  <si>
    <t>RUE CHAMPLAIN</t>
  </si>
  <si>
    <t>J5C1T4</t>
  </si>
  <si>
    <t>antoinedube1@icloud.com</t>
  </si>
  <si>
    <t>Gafiiuc, Natalia</t>
  </si>
  <si>
    <t>BOULEVARD CARTIER OUEST</t>
  </si>
  <si>
    <t>H7V1J9</t>
  </si>
  <si>
    <t>pascalnatalia87@yahoo.com</t>
  </si>
  <si>
    <t>Lam, Michael</t>
  </si>
  <si>
    <t>lamm452452@gmail.com</t>
  </si>
  <si>
    <t>Sehabi, Lina</t>
  </si>
  <si>
    <t>PLACE RUPERT</t>
  </si>
  <si>
    <t>J6A3V4</t>
  </si>
  <si>
    <t>linasehabi@outlook.com</t>
  </si>
  <si>
    <t>Vétel, Léo</t>
  </si>
  <si>
    <t>RUE JEAN PIERRE RONFARD</t>
  </si>
  <si>
    <t>vetel.leo@gmail.com</t>
  </si>
  <si>
    <t>Kazazian, Miray</t>
  </si>
  <si>
    <t>RUE LOUIS CARRIER</t>
  </si>
  <si>
    <t>H4N2Z1</t>
  </si>
  <si>
    <t>kazazianm00@hotmail.com</t>
  </si>
  <si>
    <t>Te, Jimmy</t>
  </si>
  <si>
    <t>H1P2L2</t>
  </si>
  <si>
    <t>jimmyte8@gmail.com</t>
  </si>
  <si>
    <t>Olivier, Mathis</t>
  </si>
  <si>
    <t>H2K1G4</t>
  </si>
  <si>
    <t>mathis-olivier@hotmail.com</t>
  </si>
  <si>
    <t>Desmarais, Thierry</t>
  </si>
  <si>
    <t>H2L2X5</t>
  </si>
  <si>
    <t>desth@mailo.com</t>
  </si>
  <si>
    <t>Thangarajasingam, Janantahn</t>
  </si>
  <si>
    <t>jonesingam24@gmail.com</t>
  </si>
  <si>
    <t>Sendra-Mottino, Oscar</t>
  </si>
  <si>
    <t>SAINT MICHEL</t>
  </si>
  <si>
    <t>H1Y2E9</t>
  </si>
  <si>
    <t>obsendra@gmail.com</t>
  </si>
  <si>
    <t>Laflamme, David</t>
  </si>
  <si>
    <t>davidlaflamme4012@gmail.com</t>
  </si>
  <si>
    <t>Lam, Léane</t>
  </si>
  <si>
    <t>RUE OLIVETTE-THIBAULT</t>
  </si>
  <si>
    <t>H1Y3L3</t>
  </si>
  <si>
    <t>leanelam88@hotmail.com</t>
  </si>
  <si>
    <t>English, Cassandra</t>
  </si>
  <si>
    <t>BOULEVARD RENARD OUEST</t>
  </si>
  <si>
    <t>G4X5A1</t>
  </si>
  <si>
    <t>englishcass11@gmail.com</t>
  </si>
  <si>
    <t>Cervantes-Almestar, Kiarely</t>
  </si>
  <si>
    <t>RUE DUFROST</t>
  </si>
  <si>
    <t>H1P2Z5</t>
  </si>
  <si>
    <t>cervanteskiarely@gmail.com</t>
  </si>
  <si>
    <t>Bolduc, Myriam</t>
  </si>
  <si>
    <t>G1L3J9</t>
  </si>
  <si>
    <t>myriam_bolduc@hotmail.com</t>
  </si>
  <si>
    <t>Lewis, Carina</t>
  </si>
  <si>
    <t>CHEMIN DU RUISSEAU NORD</t>
  </si>
  <si>
    <t>SAINT-MATHIEU-DE-BELOEIL</t>
  </si>
  <si>
    <t>J3G2C9</t>
  </si>
  <si>
    <t>lewis.carina@gmail.com</t>
  </si>
  <si>
    <t>Stevens, Thomas</t>
  </si>
  <si>
    <t>DOBIE</t>
  </si>
  <si>
    <t>H3P1S8</t>
  </si>
  <si>
    <t>stevenst056@gmail.com</t>
  </si>
  <si>
    <t>Canales Mercado, Giovanni</t>
  </si>
  <si>
    <t>H1N1N7</t>
  </si>
  <si>
    <t>giovannicm007@gmail.com</t>
  </si>
  <si>
    <t>Puterman, Ateret</t>
  </si>
  <si>
    <t>DUFFERIN</t>
  </si>
  <si>
    <t>HAMPSTEAD</t>
  </si>
  <si>
    <t>H3X2Z1</t>
  </si>
  <si>
    <t>ateretp@gmail.com</t>
  </si>
  <si>
    <t>Bélanger, Victor</t>
  </si>
  <si>
    <t>H2A2A4</t>
  </si>
  <si>
    <t>victorbelanger394@gmail.com</t>
  </si>
  <si>
    <t>Thambithurai, Brittny</t>
  </si>
  <si>
    <t>BOULEVARD COUTURE</t>
  </si>
  <si>
    <t>H1P3L9</t>
  </si>
  <si>
    <t>brittny0812@gmail.com</t>
  </si>
  <si>
    <t>Wajid, Hussna</t>
  </si>
  <si>
    <t>hussna2007@outlook.com</t>
  </si>
  <si>
    <t>Picard, Elliot</t>
  </si>
  <si>
    <t>H1A5S4</t>
  </si>
  <si>
    <t>picard.elliot2000@gmail.com</t>
  </si>
  <si>
    <t>Khoufache, Hocine</t>
  </si>
  <si>
    <t>H1B1R9</t>
  </si>
  <si>
    <t>hocine.khoufache@gmail.com</t>
  </si>
  <si>
    <t>Desmeules, Vincent</t>
  </si>
  <si>
    <t>74E AV</t>
  </si>
  <si>
    <t>H7V2X9</t>
  </si>
  <si>
    <t>vinc2000@outlook.com</t>
  </si>
  <si>
    <t>Tellier, Charlène</t>
  </si>
  <si>
    <t>H2R2V5</t>
  </si>
  <si>
    <t>charlenetellier@videotron.ca</t>
  </si>
  <si>
    <t>Guezieu Tchippe, Jessica Naomi</t>
  </si>
  <si>
    <t>JACQUES-CARTIER BLVD E</t>
  </si>
  <si>
    <t>J4M1T9</t>
  </si>
  <si>
    <t>naomitchippe@gmail.com</t>
  </si>
  <si>
    <t>Tran, Dai Long</t>
  </si>
  <si>
    <t>tdailong9@gmail.com</t>
  </si>
  <si>
    <t>Desrochers, Arthur</t>
  </si>
  <si>
    <t>RUE SAINTE ADELE</t>
  </si>
  <si>
    <t>J6E6N3</t>
  </si>
  <si>
    <t>arthurbdesrochers@gmail.com</t>
  </si>
  <si>
    <t>Mugisho Mweze, Hubert</t>
  </si>
  <si>
    <t>bresilienhubert@gmail.com</t>
  </si>
  <si>
    <t>Lopez Zarceno, Kevin-Leonel</t>
  </si>
  <si>
    <t>RUE LOUIS QUILICO</t>
  </si>
  <si>
    <t>H1S0A3</t>
  </si>
  <si>
    <t>leonellopez6@icloud.com</t>
  </si>
  <si>
    <t>Michaud, Estelle</t>
  </si>
  <si>
    <t>RUE PAULINE</t>
  </si>
  <si>
    <t>H8N1L7</t>
  </si>
  <si>
    <t>mlle.pocpoc@gmail.com</t>
  </si>
  <si>
    <t>Rahman, Marium</t>
  </si>
  <si>
    <t>H1N2Y3</t>
  </si>
  <si>
    <t>mariumrahman0326@gmail.com</t>
  </si>
  <si>
    <t>Corbiere, Jade</t>
  </si>
  <si>
    <t>H1Y2T1</t>
  </si>
  <si>
    <t>corbierej1@icloud.com</t>
  </si>
  <si>
    <t>Rodrigues-Viens, Livia</t>
  </si>
  <si>
    <t>H2R2S8</t>
  </si>
  <si>
    <t>livia.rodriguesviens@hotmail.com</t>
  </si>
  <si>
    <t>Masciotra, Luca</t>
  </si>
  <si>
    <t>H2S3G5</t>
  </si>
  <si>
    <t>masciotraluca4@gmail.com</t>
  </si>
  <si>
    <t>Braghis, Alexandra</t>
  </si>
  <si>
    <t>RUE DU PINACLE</t>
  </si>
  <si>
    <t>J7W3C9</t>
  </si>
  <si>
    <t>alexandrabraghis16@icloud.com</t>
  </si>
  <si>
    <t>Nechak, Ines</t>
  </si>
  <si>
    <t>H1K3T8</t>
  </si>
  <si>
    <t>nechakines@gmail.com</t>
  </si>
  <si>
    <t>Leduc, Marie-Ève</t>
  </si>
  <si>
    <t>H1N2L9</t>
  </si>
  <si>
    <t>leduc.m48@gmail.com</t>
  </si>
  <si>
    <t>Foucher, Marijoe</t>
  </si>
  <si>
    <t>H2L3W3</t>
  </si>
  <si>
    <t>marijoje@hotmail.com</t>
  </si>
  <si>
    <t>Hellala, Mohamed Amine</t>
  </si>
  <si>
    <t>H1K2N6</t>
  </si>
  <si>
    <t>aminehellala06@gmail.com</t>
  </si>
  <si>
    <t>Baragh, Haroun</t>
  </si>
  <si>
    <t>H1R1G2</t>
  </si>
  <si>
    <t>baragh64@gmail.com</t>
  </si>
  <si>
    <t>Barbieri, Adamo</t>
  </si>
  <si>
    <t>RUE BELLERIVE</t>
  </si>
  <si>
    <t>barbieriadamo@gmail.com</t>
  </si>
  <si>
    <t>Balakrishnan, Kanshiya</t>
  </si>
  <si>
    <t>kanshiya11@gmail.com</t>
  </si>
  <si>
    <t>Arroyo Guzman, Karla Lilian</t>
  </si>
  <si>
    <t>12E AV</t>
  </si>
  <si>
    <t>H1X3B1</t>
  </si>
  <si>
    <t>karlaguzm4n@gmail.com</t>
  </si>
  <si>
    <t>Marquis, Anne</t>
  </si>
  <si>
    <t>H2H1S4</t>
  </si>
  <si>
    <t>a.marquis@hotmail.ca</t>
  </si>
  <si>
    <t>Quintero-Fossatty, Eric-Javier</t>
  </si>
  <si>
    <t>AVENUE DU BEL-HORIZON</t>
  </si>
  <si>
    <t>J3E3N4</t>
  </si>
  <si>
    <t>delphinetremblay0595@gmail.com</t>
  </si>
  <si>
    <t>Mailly, Leila</t>
  </si>
  <si>
    <t>DE DRUCOURT</t>
  </si>
  <si>
    <t>leila-m.pro@live.fr</t>
  </si>
  <si>
    <t>Canaff, Alexandre</t>
  </si>
  <si>
    <t>CH DE FERTILE CREEK</t>
  </si>
  <si>
    <t>HOWICK</t>
  </si>
  <si>
    <t>J0S1G0</t>
  </si>
  <si>
    <t>alexandrecanaff@gmail.com</t>
  </si>
  <si>
    <t>Duveau, Dany Fritz</t>
  </si>
  <si>
    <t>H1K2M9</t>
  </si>
  <si>
    <t>danyfritzduveau@gmail.com</t>
  </si>
  <si>
    <t>Baglio, Mélisa</t>
  </si>
  <si>
    <t>41E AVENUE</t>
  </si>
  <si>
    <t>H1E2E9</t>
  </si>
  <si>
    <t>baglio.melisa@gmail.com</t>
  </si>
  <si>
    <t>Yassin, Hiyam</t>
  </si>
  <si>
    <t>H1H4L8</t>
  </si>
  <si>
    <t>hiyamyassin418@gmail.com</t>
  </si>
  <si>
    <t>Bruno, Emilie</t>
  </si>
  <si>
    <t>H1Y2G4</t>
  </si>
  <si>
    <t>Emiliebrunoseers@icloud.com</t>
  </si>
  <si>
    <t>Miliani, Zohra</t>
  </si>
  <si>
    <t>zohramiliani2007@gmail.com</t>
  </si>
  <si>
    <t>Jean, Christine Elissa</t>
  </si>
  <si>
    <t>AVENUE DRAPEAU</t>
  </si>
  <si>
    <t>H1H3K1</t>
  </si>
  <si>
    <t>christinejean331@yahoo.com</t>
  </si>
  <si>
    <t>Huth, Mélanie</t>
  </si>
  <si>
    <t>BOULEVARD LAFRAMBOISE</t>
  </si>
  <si>
    <t>J2S4X2</t>
  </si>
  <si>
    <t>melaniehuth@outlook.fr</t>
  </si>
  <si>
    <t>Cojocaru, Raphaële</t>
  </si>
  <si>
    <t>AVENUE THÉRÈSE-LAVOIE-ROUX</t>
  </si>
  <si>
    <t>H2V0B1</t>
  </si>
  <si>
    <t>raphcoj@gmail.com</t>
  </si>
  <si>
    <t>Royer, Myriam</t>
  </si>
  <si>
    <t>NINA-OWENS</t>
  </si>
  <si>
    <t>J1L0J5</t>
  </si>
  <si>
    <t>myriam.royer2003@gmail.com</t>
  </si>
  <si>
    <t>Balasoiu-Draghici, Daniel</t>
  </si>
  <si>
    <t>10-IÈME AVENUE</t>
  </si>
  <si>
    <t>H1Y2H7</t>
  </si>
  <si>
    <t>balasoiudraghicid@gmail.com</t>
  </si>
  <si>
    <t>Djezar, Selma</t>
  </si>
  <si>
    <t>djezarmtl@gmail.com</t>
  </si>
  <si>
    <t>Vu, Mai Khanh Kathleen</t>
  </si>
  <si>
    <t>H1M2H4</t>
  </si>
  <si>
    <t>kathleenvu0566@gmail.com</t>
  </si>
  <si>
    <t>Mailhot Bolduc, Chloé</t>
  </si>
  <si>
    <t>H2H2E6</t>
  </si>
  <si>
    <t>chloemailhot2017@gmail.com</t>
  </si>
  <si>
    <t>Setruk, Jean-Samuel</t>
  </si>
  <si>
    <t>RUE DESPRÉAUX</t>
  </si>
  <si>
    <t>H1S1E7</t>
  </si>
  <si>
    <t>setrukbryan@hotmail.com</t>
  </si>
  <si>
    <t>Dinga, Hendel</t>
  </si>
  <si>
    <t>R. CARTIER</t>
  </si>
  <si>
    <t>H2E2J5</t>
  </si>
  <si>
    <t>hendel07@outlook.fr</t>
  </si>
  <si>
    <t>Diwani Sarah, Sarah</t>
  </si>
  <si>
    <t>BISHOP-POWER BLVD</t>
  </si>
  <si>
    <t>H8P2R2</t>
  </si>
  <si>
    <t>elgidediwani@gmail.com</t>
  </si>
  <si>
    <t>Laguerre, Pierre Alix</t>
  </si>
  <si>
    <t>H1R3N8</t>
  </si>
  <si>
    <t>laguerrepierrealix@gmail.com</t>
  </si>
  <si>
    <t>Habel, Vincent-Kieu</t>
  </si>
  <si>
    <t>AVENUE WILLOWDALE</t>
  </si>
  <si>
    <t>OUTREMONT</t>
  </si>
  <si>
    <t>H3T1E9</t>
  </si>
  <si>
    <t>kieupt@hotmail.com</t>
  </si>
  <si>
    <t>Bonilla Ayala, Rose-Mery</t>
  </si>
  <si>
    <t>6E AV</t>
  </si>
  <si>
    <t>H1Z2T8</t>
  </si>
  <si>
    <t>rosemery.bonilla@icloud.com</t>
  </si>
  <si>
    <t>Zabitsky, Léonard</t>
  </si>
  <si>
    <t>RUE DE MENTANA</t>
  </si>
  <si>
    <t>H2J3B1</t>
  </si>
  <si>
    <t>zabitskyleonard@gmail.com</t>
  </si>
  <si>
    <t>Cyr-Lucas, Laur</t>
  </si>
  <si>
    <t>H3X2L2</t>
  </si>
  <si>
    <t>crown.of.laur@gmail.com</t>
  </si>
  <si>
    <t>Estrella, Jade</t>
  </si>
  <si>
    <t>RUE CHAPLEAU</t>
  </si>
  <si>
    <t>H2K3H5</t>
  </si>
  <si>
    <t>jadoucheer2006@outlook.com</t>
  </si>
  <si>
    <t>Saih, Ali</t>
  </si>
  <si>
    <t>RUE DE CHAILLY</t>
  </si>
  <si>
    <t>H1T1K1</t>
  </si>
  <si>
    <t>alusaih938@gmail.com</t>
  </si>
  <si>
    <t>Fleurent, Solamé</t>
  </si>
  <si>
    <t>J3G2X6</t>
  </si>
  <si>
    <t>sosofleur111@gmail.com</t>
  </si>
  <si>
    <t>Edery, Shimon-Amram</t>
  </si>
  <si>
    <t>AVENUE TRINITY</t>
  </si>
  <si>
    <t>H4W1Z4</t>
  </si>
  <si>
    <t>shimonedery9@gmail.com</t>
  </si>
  <si>
    <t>Mahmood, Aneeza</t>
  </si>
  <si>
    <t>H2N1X7</t>
  </si>
  <si>
    <t>6310949@crosemont.qc.ca</t>
  </si>
  <si>
    <t>Mondésir, Sankara Phéguens</t>
  </si>
  <si>
    <t>H1X2C8</t>
  </si>
  <si>
    <t>phmonde33@gmail.com</t>
  </si>
  <si>
    <t>Vaillancourt, Renaud</t>
  </si>
  <si>
    <t>renaud.vaillancourt@icloud.com</t>
  </si>
  <si>
    <t>Beggas, Soundouss</t>
  </si>
  <si>
    <t>soundoussbeggas@gmail.com</t>
  </si>
  <si>
    <t>Ntumba, Alliance</t>
  </si>
  <si>
    <t>BULLION</t>
  </si>
  <si>
    <t>alliancentumba96@gmail.com</t>
  </si>
  <si>
    <t>Cloutier, Aimé</t>
  </si>
  <si>
    <t>AV JEANNE-D'ARC</t>
  </si>
  <si>
    <t>H1X2E6</t>
  </si>
  <si>
    <t>cloutier.aime@gmail.com</t>
  </si>
  <si>
    <t>Mohamed, Ahmedi</t>
  </si>
  <si>
    <t>RUE WORKMAN</t>
  </si>
  <si>
    <t>H3J1L2</t>
  </si>
  <si>
    <t>Ahmedi.mohamed@hotmail.ca</t>
  </si>
  <si>
    <t>Sousa-Lopes, Patricia</t>
  </si>
  <si>
    <t>AVENUE KIRBY-HALL</t>
  </si>
  <si>
    <t>H1K1P3</t>
  </si>
  <si>
    <t>psl.perso@outlook.com</t>
  </si>
  <si>
    <t>Lambert, Justine</t>
  </si>
  <si>
    <t>AV DE LORIMIER</t>
  </si>
  <si>
    <t>H2G2N6</t>
  </si>
  <si>
    <t>laurencejustine.lambert@gmail.com</t>
  </si>
  <si>
    <t>Deschênes, Daphné</t>
  </si>
  <si>
    <t>H2T2V5</t>
  </si>
  <si>
    <t>daphned_08@protonmail.com</t>
  </si>
  <si>
    <t>Ethier, Melissa</t>
  </si>
  <si>
    <t>37E AVENUE E</t>
  </si>
  <si>
    <t>J7C5Z4</t>
  </si>
  <si>
    <t>melissaethier1@hotmail.com</t>
  </si>
  <si>
    <t>Pean, Nahomie</t>
  </si>
  <si>
    <t>H1Z2Z4</t>
  </si>
  <si>
    <t>nahomie119@hotmail.com</t>
  </si>
  <si>
    <t>Henaut, Diane</t>
  </si>
  <si>
    <t>AVENUE HENRI-JULIEN</t>
  </si>
  <si>
    <t>H2X3H4</t>
  </si>
  <si>
    <t>dianehenaut@gmail.com</t>
  </si>
  <si>
    <t>Arab, Youba</t>
  </si>
  <si>
    <t>RUE ANNE-HÉBERT</t>
  </si>
  <si>
    <t>H1N3X1</t>
  </si>
  <si>
    <t>youbaarab2007@gmail.com</t>
  </si>
  <si>
    <t>Lounas, Islam Rayane</t>
  </si>
  <si>
    <t>H1N1E3</t>
  </si>
  <si>
    <t>lounasrayane7@gmail.com</t>
  </si>
  <si>
    <t>Hérard, Loïc</t>
  </si>
  <si>
    <t>RUE DES GENERATIONS</t>
  </si>
  <si>
    <t>SAINT-PAUL</t>
  </si>
  <si>
    <t>loic.herard@hotmail.com</t>
  </si>
  <si>
    <t>Kaveh-Forest, Dariush</t>
  </si>
  <si>
    <t>RUE BAGOT</t>
  </si>
  <si>
    <t>H1X1C4</t>
  </si>
  <si>
    <t>dkaveh76@gmail.com</t>
  </si>
  <si>
    <t>Boulerice, Émilie</t>
  </si>
  <si>
    <t>SAINT-CHRYSOSTOME</t>
  </si>
  <si>
    <t>J0S1R0</t>
  </si>
  <si>
    <t>emilie802@outlook.fr</t>
  </si>
  <si>
    <t>Vitiuk, Artem</t>
  </si>
  <si>
    <t>PLACE ALDÉRIC-BEAULAC</t>
  </si>
  <si>
    <t>H2M2S8</t>
  </si>
  <si>
    <t>artemvitiuk02@gmail.com</t>
  </si>
  <si>
    <t>Dushica Martinez, Donika</t>
  </si>
  <si>
    <t>RUE HEPWORTH</t>
  </si>
  <si>
    <t>H8P3C7</t>
  </si>
  <si>
    <t>martinezdonika@gmail.com</t>
  </si>
  <si>
    <t>Lauzon, Gabrielle</t>
  </si>
  <si>
    <t>AVENUE 5E</t>
  </si>
  <si>
    <t>H8P2K3</t>
  </si>
  <si>
    <t>lauzgab2@gmail.com</t>
  </si>
  <si>
    <t>Long, Chinlida</t>
  </si>
  <si>
    <t>RUE DU BOSQUET</t>
  </si>
  <si>
    <t>J7W9Y4</t>
  </si>
  <si>
    <t>longlida@bell.net</t>
  </si>
  <si>
    <t>Boucher, Sophie-Anne</t>
  </si>
  <si>
    <t>AVENUE BODINIER</t>
  </si>
  <si>
    <t>H1K1C3</t>
  </si>
  <si>
    <t>saboucher00@gmail.com</t>
  </si>
  <si>
    <t>Deschênes, Sabrina</t>
  </si>
  <si>
    <t>BOULEVARD DE LA FOURCHE</t>
  </si>
  <si>
    <t>J5R6M4</t>
  </si>
  <si>
    <t>sabrina.deschenes@videotron.ca</t>
  </si>
  <si>
    <t>Isanc, Hatice</t>
  </si>
  <si>
    <t>H1G5C4</t>
  </si>
  <si>
    <t>isanchatice@gmail.com</t>
  </si>
  <si>
    <t>Seghir, Hiba Nour El Yakine</t>
  </si>
  <si>
    <t>CROISSANT DICKENS</t>
  </si>
  <si>
    <t>H7W4E2</t>
  </si>
  <si>
    <t>hibaseghir2704@gmail.com</t>
  </si>
  <si>
    <t>Bouazouni, Hanna</t>
  </si>
  <si>
    <t>RUE MYRA-CREE</t>
  </si>
  <si>
    <t>H1K0E1</t>
  </si>
  <si>
    <t>hannabouazouni@icloud.com</t>
  </si>
  <si>
    <t>Beaupré, Noémie</t>
  </si>
  <si>
    <t>RUE DESLIÈRES</t>
  </si>
  <si>
    <t>SAINT-BRUNO-DE-MONTARVILLE</t>
  </si>
  <si>
    <t>J3V6P7</t>
  </si>
  <si>
    <t>noemiebeaupre13@gmail.com</t>
  </si>
  <si>
    <t>Lukombo, Cristina Kitata</t>
  </si>
  <si>
    <t>AV LAPIERRE</t>
  </si>
  <si>
    <t>H1G3S1</t>
  </si>
  <si>
    <t>cristinalukombo@gmail.com</t>
  </si>
  <si>
    <t>Leduc, Tomi</t>
  </si>
  <si>
    <t>H2A2G5</t>
  </si>
  <si>
    <t>tomileduc21@gmail.com</t>
  </si>
  <si>
    <t>Zaki, Gabriel</t>
  </si>
  <si>
    <t>RUE DE LA SALETTE</t>
  </si>
  <si>
    <t>H1P2J9</t>
  </si>
  <si>
    <t>zakigabriel07@gmail.com</t>
  </si>
  <si>
    <t>Feuko, Valiant-Wisemann</t>
  </si>
  <si>
    <t>H1A3A7</t>
  </si>
  <si>
    <t>wisemannfeuko@gmail.com</t>
  </si>
  <si>
    <t>Rouquette, Céline</t>
  </si>
  <si>
    <t>RUE SAINT-URBAIN</t>
  </si>
  <si>
    <t>H3L2T9</t>
  </si>
  <si>
    <t>c.rouquette34@gmail.com</t>
  </si>
  <si>
    <t>Despatie, Zack</t>
  </si>
  <si>
    <t>RUE DES FLORALIES</t>
  </si>
  <si>
    <t>J2H2T9</t>
  </si>
  <si>
    <t>zack.despatie10@outlook.com</t>
  </si>
  <si>
    <t>Fleuristin, Valerio Abel Winsley</t>
  </si>
  <si>
    <t>abelfleuristin@gmail.com</t>
  </si>
  <si>
    <t>Demers, Mylène</t>
  </si>
  <si>
    <t>RUE DE LESCALE</t>
  </si>
  <si>
    <t>G7A1G2</t>
  </si>
  <si>
    <t>mylene.demers.2@gmail.com</t>
  </si>
  <si>
    <t>Elkeslassy, Sarah Maud</t>
  </si>
  <si>
    <t>H3G0B7</t>
  </si>
  <si>
    <t>elkeslassysarah06@gmail.com</t>
  </si>
  <si>
    <t>Lajeunesse, Éliane</t>
  </si>
  <si>
    <t>RUE GUERTIN</t>
  </si>
  <si>
    <t>J2X5R7</t>
  </si>
  <si>
    <t>eliane.leon2007@gmail.com</t>
  </si>
  <si>
    <t>Benguerba, Maria</t>
  </si>
  <si>
    <t>H1Y1L2</t>
  </si>
  <si>
    <t>Mariabenn0@hotmail.com</t>
  </si>
  <si>
    <t>Raileanu, Elena</t>
  </si>
  <si>
    <t>H2B2V2</t>
  </si>
  <si>
    <t>raileanu.elena2009@gmail.com</t>
  </si>
  <si>
    <t>Cadena, Alexandre-Olivier</t>
  </si>
  <si>
    <t>H7J1A2</t>
  </si>
  <si>
    <t>alexandre.cadena15@hotmail.com</t>
  </si>
  <si>
    <t>Krim, Chaïma Chanez</t>
  </si>
  <si>
    <t>RUE VÉZINA</t>
  </si>
  <si>
    <t>J5Y1M3</t>
  </si>
  <si>
    <t>chanezkrim@outlook.com</t>
  </si>
  <si>
    <t>Brahami, Alicia</t>
  </si>
  <si>
    <t>RUE GRASSET</t>
  </si>
  <si>
    <t>H7K2E6</t>
  </si>
  <si>
    <t>brahamialicia2@outlook.com</t>
  </si>
  <si>
    <t>Simbert, Kerline</t>
  </si>
  <si>
    <t>VANIER</t>
  </si>
  <si>
    <t>H4K1A5</t>
  </si>
  <si>
    <t>Kerline06@hotmail.com</t>
  </si>
  <si>
    <t>Gauthier-Da Silva, Derick</t>
  </si>
  <si>
    <t>J6W6B1</t>
  </si>
  <si>
    <t>derickgauthierdasilva@gmail.com</t>
  </si>
  <si>
    <t>Bérubé, Jae</t>
  </si>
  <si>
    <t>H3L2H9</t>
  </si>
  <si>
    <t>jae.beru@gmail.com</t>
  </si>
  <si>
    <t>Alexis, Mikencie</t>
  </si>
  <si>
    <t>alexismikencie@gmail.com</t>
  </si>
  <si>
    <t>Mendoza Carranza, Cynthia Sofia</t>
  </si>
  <si>
    <t>H1T1N1</t>
  </si>
  <si>
    <t>cynthysofia@gmail.com</t>
  </si>
  <si>
    <t>Gagnon Couët, Élodie</t>
  </si>
  <si>
    <t>AVENUE DE LA SEINE</t>
  </si>
  <si>
    <t>H1K1T8</t>
  </si>
  <si>
    <t>elodiegcouet@icloud.com</t>
  </si>
  <si>
    <t>Nallaiah, Harujan</t>
  </si>
  <si>
    <t>nallaiahh@outlook.com</t>
  </si>
  <si>
    <t>Clérismé, Darly Kessia</t>
  </si>
  <si>
    <t>AVENUE GEORGES</t>
  </si>
  <si>
    <t>H1K1J5</t>
  </si>
  <si>
    <t>clerismedarly@gmail.com</t>
  </si>
  <si>
    <t>Daoust-McMahon, Avelyn</t>
  </si>
  <si>
    <t>RUE PAUL-CHARTRAND</t>
  </si>
  <si>
    <t>ave_d_mc@icloud.com</t>
  </si>
  <si>
    <t>Lafontaine, Alice</t>
  </si>
  <si>
    <t>AVENUE DE LA VOLIÈRE</t>
  </si>
  <si>
    <t>H7L3X3</t>
  </si>
  <si>
    <t>alicelaf01@icloud.com</t>
  </si>
  <si>
    <t>Chabot, Raphaël</t>
  </si>
  <si>
    <t>RUE BOULÉ</t>
  </si>
  <si>
    <t>J4J1T5</t>
  </si>
  <si>
    <t>r4phchabot@gmail.com</t>
  </si>
  <si>
    <t>Mbengue, Mama Sene</t>
  </si>
  <si>
    <t>H1A3E5</t>
  </si>
  <si>
    <t>mbmsene@gmail.com</t>
  </si>
  <si>
    <t>Cheniti, Maram</t>
  </si>
  <si>
    <t>chnei0612@gmail.com</t>
  </si>
  <si>
    <t>Petitclerc, Léo</t>
  </si>
  <si>
    <t>J3E1K7</t>
  </si>
  <si>
    <t>leo.petitclerc@hotmail.com</t>
  </si>
  <si>
    <t>Miousse, Héloïse</t>
  </si>
  <si>
    <t>CHEMIN DES PATRIOTES</t>
  </si>
  <si>
    <t>ST-MATHIAS-SUR-RICHELIEU</t>
  </si>
  <si>
    <t>J3L6A4</t>
  </si>
  <si>
    <t>miousse.heloise@gmail.com</t>
  </si>
  <si>
    <t>Brisson, Yan</t>
  </si>
  <si>
    <t>RUE BEATTY</t>
  </si>
  <si>
    <t>H4H1X9</t>
  </si>
  <si>
    <t>yanbrisson@icloud.com</t>
  </si>
  <si>
    <t>Dubon Lopez, Gabriel</t>
  </si>
  <si>
    <t>H1Z2Y1</t>
  </si>
  <si>
    <t>gabrieldubonbob@hotmail.com</t>
  </si>
  <si>
    <t>Dumas, Samuel</t>
  </si>
  <si>
    <t>MAURICE RICHARD</t>
  </si>
  <si>
    <t>TROIS-RIVIERES</t>
  </si>
  <si>
    <t>G8W1C8</t>
  </si>
  <si>
    <t>lorianedumas@icloud.com</t>
  </si>
  <si>
    <t>Tougeron, Rafael</t>
  </si>
  <si>
    <t>AVENUE CHRISTOPHE COLOMB</t>
  </si>
  <si>
    <t>H2S2G8</t>
  </si>
  <si>
    <t>j.tougeron@gmail.com</t>
  </si>
  <si>
    <t>Kingsley, Nathan</t>
  </si>
  <si>
    <t>JORDI-BONET</t>
  </si>
  <si>
    <t>nathkingsley@gmail.com</t>
  </si>
  <si>
    <t>Mann, Nessya</t>
  </si>
  <si>
    <t>CHEMIN MACKLE</t>
  </si>
  <si>
    <t>H4W3L1</t>
  </si>
  <si>
    <t>Nessyamann1480@gmail.com</t>
  </si>
  <si>
    <t>D'Amours, Éloïze</t>
  </si>
  <si>
    <t>H1W3A7</t>
  </si>
  <si>
    <t>eloizedamours@gmail.com</t>
  </si>
  <si>
    <t>Hassanein, Omar</t>
  </si>
  <si>
    <t>81E AVENUE</t>
  </si>
  <si>
    <t>H7V3M3</t>
  </si>
  <si>
    <t>omar3h3@gmail.com</t>
  </si>
  <si>
    <t>Rivest, Alice</t>
  </si>
  <si>
    <t>RUE ALPHONSE</t>
  </si>
  <si>
    <t>J4Z1C4</t>
  </si>
  <si>
    <t>miss.alice.rivest@gmail.com</t>
  </si>
  <si>
    <t>Rakotoharinaivoson, Lalaina Valisoa Ida</t>
  </si>
  <si>
    <t>H2A2X2</t>
  </si>
  <si>
    <t>idalalaina@gmail.com</t>
  </si>
  <si>
    <t>Ahmed, Sanda</t>
  </si>
  <si>
    <t>BOULEVARD ROBERT-BOURASSA</t>
  </si>
  <si>
    <t>H3C3Z7</t>
  </si>
  <si>
    <t>sandoudaahmed1997@gmail.com</t>
  </si>
  <si>
    <t>Sergnese, Luca</t>
  </si>
  <si>
    <t>sergneseluca@gmail.com</t>
  </si>
  <si>
    <t>Almazan Medina, Sebastian</t>
  </si>
  <si>
    <t>EDUARD MONTPETIT</t>
  </si>
  <si>
    <t>H3W1P7</t>
  </si>
  <si>
    <t>bjmedivela07@gmail.com</t>
  </si>
  <si>
    <t>Arbour, Evelynn</t>
  </si>
  <si>
    <t>RUE D'ÎLE-DE-FRANCE</t>
  </si>
  <si>
    <t>J4H3S4</t>
  </si>
  <si>
    <t>arbourevelynn9@gmail.com</t>
  </si>
  <si>
    <t>Boulard, Ophélie Claire Stella</t>
  </si>
  <si>
    <t>10E AV</t>
  </si>
  <si>
    <t>opboulard@gmail.com</t>
  </si>
  <si>
    <t>Pusso, Sebastian</t>
  </si>
  <si>
    <t>H1A5L8</t>
  </si>
  <si>
    <t>garbiruki@icloud.com</t>
  </si>
  <si>
    <t>Alvarado, Ailen</t>
  </si>
  <si>
    <t>H1A5P9</t>
  </si>
  <si>
    <t>Cerfailen@icloud.com</t>
  </si>
  <si>
    <t>Croteau, Florence</t>
  </si>
  <si>
    <t>H1Y2E6</t>
  </si>
  <si>
    <t>florencecroteau0@gmail.com</t>
  </si>
  <si>
    <t>Moniz, Anne-Gabrielle</t>
  </si>
  <si>
    <t>24IÈME AVENUE</t>
  </si>
  <si>
    <t>H2A2E5</t>
  </si>
  <si>
    <t>annegabriellemoniz@icloud.com</t>
  </si>
  <si>
    <t>Boubekeur, Imene</t>
  </si>
  <si>
    <t>RUE PERRIGARD</t>
  </si>
  <si>
    <t>H7C2L1</t>
  </si>
  <si>
    <t>imeneboubekeur@icloud.com</t>
  </si>
  <si>
    <t>Dol, Marly Petrovska</t>
  </si>
  <si>
    <t>H2A2N9</t>
  </si>
  <si>
    <t>vmarlyy@gmail.com</t>
  </si>
  <si>
    <t>Morissette, Roxie</t>
  </si>
  <si>
    <t>H1X3K4</t>
  </si>
  <si>
    <t>roxiemorissette@gmail.com</t>
  </si>
  <si>
    <t>Lima Moniz, Mikaela</t>
  </si>
  <si>
    <t>H2R2J6</t>
  </si>
  <si>
    <t>mlm.monizlima@gmail.com</t>
  </si>
  <si>
    <t>Béliveau, Victo</t>
  </si>
  <si>
    <t>RUE ANTOINE-CHAUDILLON</t>
  </si>
  <si>
    <t>H1A5B1</t>
  </si>
  <si>
    <t>beliveauvicto@gmail.com</t>
  </si>
  <si>
    <t>Maakni, Massyl</t>
  </si>
  <si>
    <t>PATRICIA</t>
  </si>
  <si>
    <t>H4L2Y2</t>
  </si>
  <si>
    <t>saubecity@gmail.com</t>
  </si>
  <si>
    <t>Lemoussi, Sara</t>
  </si>
  <si>
    <t>RUE LOUIS XIV</t>
  </si>
  <si>
    <t>H1R3G4</t>
  </si>
  <si>
    <t>saralmssi@hotmail.com</t>
  </si>
  <si>
    <t>Lambert, Mélissa</t>
  </si>
  <si>
    <t>m.lambert22@outlook.com</t>
  </si>
  <si>
    <t>David Brunello, Jeanne</t>
  </si>
  <si>
    <t>H1L3S7</t>
  </si>
  <si>
    <t>jeanne.brunello@icloud.com</t>
  </si>
  <si>
    <t>Portelance, Justin</t>
  </si>
  <si>
    <t>H1N2T2</t>
  </si>
  <si>
    <t>jujuportelance@hotmail.com</t>
  </si>
  <si>
    <t>Hadjeres, Nassim</t>
  </si>
  <si>
    <t>RUE GRATTON</t>
  </si>
  <si>
    <t>H1B1H9</t>
  </si>
  <si>
    <t>nassimhadjeres@yahoo.com</t>
  </si>
  <si>
    <t>Mecili, Walid</t>
  </si>
  <si>
    <t>RUE ANNE-COURTEMANCHE</t>
  </si>
  <si>
    <t>H1K0H6</t>
  </si>
  <si>
    <t>walidmecili01@gmail.com</t>
  </si>
  <si>
    <t>Gharbi, Yasmine</t>
  </si>
  <si>
    <t>H1X2W4</t>
  </si>
  <si>
    <t>yasmineg665@gmail.com</t>
  </si>
  <si>
    <t>Tashdjian, Julien</t>
  </si>
  <si>
    <t>H2S2L7</t>
  </si>
  <si>
    <t>julientash@gmail.com</t>
  </si>
  <si>
    <t>Djama, Juba</t>
  </si>
  <si>
    <t>PLACE DE BOUCHERVILLE</t>
  </si>
  <si>
    <t>H1K2H2</t>
  </si>
  <si>
    <t>djamajuba@gmail.com</t>
  </si>
  <si>
    <t>Ozgul, Fatih</t>
  </si>
  <si>
    <t>H1A3W6</t>
  </si>
  <si>
    <t>fatih_ozgul26@icloud.com</t>
  </si>
  <si>
    <t>Théberge, Véronique</t>
  </si>
  <si>
    <t>RUE DORCHESTER</t>
  </si>
  <si>
    <t>H1B1Z9</t>
  </si>
  <si>
    <t>vero28.theberge@gmail.com</t>
  </si>
  <si>
    <t>Charles, Shayïna</t>
  </si>
  <si>
    <t>BOULEVARD PIERRE-BERNARD</t>
  </si>
  <si>
    <t>charlesshayina9@gmail.com</t>
  </si>
  <si>
    <t>Bégin, Dominique</t>
  </si>
  <si>
    <t>AVENUE ISABELLA</t>
  </si>
  <si>
    <t>H3W1S8</t>
  </si>
  <si>
    <t>frediebegin@gmail.com</t>
  </si>
  <si>
    <t>Sebajang, Ciprian</t>
  </si>
  <si>
    <t>DE L'ASSOMPTION BLVD</t>
  </si>
  <si>
    <t>H1T2N1</t>
  </si>
  <si>
    <t>sebajangkc@outlook.com</t>
  </si>
  <si>
    <t>Fournier, Sandra</t>
  </si>
  <si>
    <t>LAKESHORE DR</t>
  </si>
  <si>
    <t>nao.sam@hotmail.com</t>
  </si>
  <si>
    <t>Filiatrault, Jessica</t>
  </si>
  <si>
    <t>RUE DE LORRAINE</t>
  </si>
  <si>
    <t>J7A4K1</t>
  </si>
  <si>
    <t>jessicafiliatrault81@gmail.com</t>
  </si>
  <si>
    <t>Grecescu, Matei</t>
  </si>
  <si>
    <t>RUE NADON</t>
  </si>
  <si>
    <t>SAINT-DONAT-DE-MONTCALM</t>
  </si>
  <si>
    <t>J0T2C0</t>
  </si>
  <si>
    <t>mateigrecescu@gmail.com</t>
  </si>
  <si>
    <t>Gareau, Mégane</t>
  </si>
  <si>
    <t>RUE OSCAR-BENOIT</t>
  </si>
  <si>
    <t>H1A5E7</t>
  </si>
  <si>
    <t>enagemgareau@gmail.com</t>
  </si>
  <si>
    <t>Cruz Ovallé, Hermione</t>
  </si>
  <si>
    <t>H1X1T7</t>
  </si>
  <si>
    <t>hermione.arnau@gmail.com</t>
  </si>
  <si>
    <t>Cameau-Fatal, Roodly</t>
  </si>
  <si>
    <t>RUE DU GALET</t>
  </si>
  <si>
    <t>H7B1A8</t>
  </si>
  <si>
    <t>cameaufatalr@yahoo.com</t>
  </si>
  <si>
    <t>Djakou Fangang, Dowell Hortensia</t>
  </si>
  <si>
    <t>37E AV</t>
  </si>
  <si>
    <t>H7R3R7</t>
  </si>
  <si>
    <t>dowellhortensia@gmail.com</t>
  </si>
  <si>
    <t>Ho, Phuong Lan</t>
  </si>
  <si>
    <t>BOULEVARD DANIEL-JOHNSON</t>
  </si>
  <si>
    <t>H7V2C5</t>
  </si>
  <si>
    <t>menniedo@yahoo.ca</t>
  </si>
  <si>
    <t>Bouchard, Laurence</t>
  </si>
  <si>
    <t>RUE DU GRAND-PIC</t>
  </si>
  <si>
    <t>H7L5T8</t>
  </si>
  <si>
    <t>labellebouchard@gmail.com</t>
  </si>
  <si>
    <t>Bah, Mariama Djelo</t>
  </si>
  <si>
    <t>AVENUE DE COBOURG</t>
  </si>
  <si>
    <t>H1H4X5</t>
  </si>
  <si>
    <t>bahmariamadjelo05@yahoo.ca</t>
  </si>
  <si>
    <t>Bannon, Émy</t>
  </si>
  <si>
    <t>J3V1V5</t>
  </si>
  <si>
    <t>bannonemy2607@gmail.com</t>
  </si>
  <si>
    <t>Lor-Nguyen, Savannah</t>
  </si>
  <si>
    <t>BOULEVARD DAGENAIS OUEST</t>
  </si>
  <si>
    <t>H7R1L7</t>
  </si>
  <si>
    <t>savannahlornguyen@gmail.com</t>
  </si>
  <si>
    <t>Dahmani, Aya</t>
  </si>
  <si>
    <t>RUE MARIE-ANNE-TROTTIER</t>
  </si>
  <si>
    <t>J6V1K9</t>
  </si>
  <si>
    <t>dahmani.aya06@gmail.com</t>
  </si>
  <si>
    <t>Pascoletti, Alexandra</t>
  </si>
  <si>
    <t>RUE DU HÂVRE-DE-L'ÎLE</t>
  </si>
  <si>
    <t>J6S5V5</t>
  </si>
  <si>
    <t>alexandrapascoletti@gmail.com</t>
  </si>
  <si>
    <t>Quevillon, Alexia</t>
  </si>
  <si>
    <t>NOTRE-DAME-DE-FATIMA</t>
  </si>
  <si>
    <t>H7G4Y5</t>
  </si>
  <si>
    <t>alexxikk@gmail.com</t>
  </si>
  <si>
    <t>Derahmoune, Lyna</t>
  </si>
  <si>
    <t>RUE ROUSSELOT</t>
  </si>
  <si>
    <t>H2E1Z7</t>
  </si>
  <si>
    <t>lynaaadera@gmail.com</t>
  </si>
  <si>
    <t>Nabole, Wendkuni Noëlie Osienne</t>
  </si>
  <si>
    <t>AVENUE JEANNE D'ARC</t>
  </si>
  <si>
    <t>H1X2E5</t>
  </si>
  <si>
    <t>n1.w.n2.o2@gmail.com</t>
  </si>
  <si>
    <t>Devaux, Lily</t>
  </si>
  <si>
    <t>RUE PUCCINI</t>
  </si>
  <si>
    <t>H2A1P7</t>
  </si>
  <si>
    <t>iprt.lilyd@gmail.com</t>
  </si>
  <si>
    <t>Glémaud, Naoki</t>
  </si>
  <si>
    <t>naoki.nanoo@gmail.com</t>
  </si>
  <si>
    <t>Valère, Elie</t>
  </si>
  <si>
    <t>elieval@outlook.com</t>
  </si>
  <si>
    <t>Dchich, Reda</t>
  </si>
  <si>
    <t>RUE CARREL</t>
  </si>
  <si>
    <t>J5Y3T4</t>
  </si>
  <si>
    <t>redinho.9@hotmail.com</t>
  </si>
  <si>
    <t>Lalanne, Maudréann</t>
  </si>
  <si>
    <t>H4G2L8</t>
  </si>
  <si>
    <t>maudreann1@gmail.com</t>
  </si>
  <si>
    <t>Lamontagne, Geneviève</t>
  </si>
  <si>
    <t>SAINT-LOUIS</t>
  </si>
  <si>
    <t>J6E2Y7</t>
  </si>
  <si>
    <t>lamontagne.gen@gmail.com</t>
  </si>
  <si>
    <t>Martinez Rivera, David Enrique</t>
  </si>
  <si>
    <t>davidemr2016@gmail.com</t>
  </si>
  <si>
    <t>Cheniti, Amani</t>
  </si>
  <si>
    <t>chenitia13@gmail.com</t>
  </si>
  <si>
    <t>Kirisikoglu, Burak</t>
  </si>
  <si>
    <t>handankirisikoglu81@gmail.com</t>
  </si>
  <si>
    <t>Arcand, Félix</t>
  </si>
  <si>
    <t>H1Y2S7</t>
  </si>
  <si>
    <t>felix@steaksoleil.com</t>
  </si>
  <si>
    <t>Roy, William</t>
  </si>
  <si>
    <t>w.roy20070501@gmail.com</t>
  </si>
  <si>
    <t>Benchaib, Manel</t>
  </si>
  <si>
    <t>RUE DE LOUVOIS</t>
  </si>
  <si>
    <t>H1P1M1</t>
  </si>
  <si>
    <t>manel.benchaib@hotmail.com</t>
  </si>
  <si>
    <t>Landry, Marie-Josée</t>
  </si>
  <si>
    <t>H1T1M6</t>
  </si>
  <si>
    <t>mjlandry@locationturbo.com</t>
  </si>
  <si>
    <t>Baron, Anne-Marie</t>
  </si>
  <si>
    <t>CÔTE DE TERREBONNE</t>
  </si>
  <si>
    <t>J6Y1S3</t>
  </si>
  <si>
    <t>annemariebaron@hotmail.com</t>
  </si>
  <si>
    <t>Larouche, Mathis</t>
  </si>
  <si>
    <t>mathislarouche12@gmail.com</t>
  </si>
  <si>
    <t>Casseus, Anderlie</t>
  </si>
  <si>
    <t>H1Z4E4</t>
  </si>
  <si>
    <t>anderliecasseus99@gmail.com</t>
  </si>
  <si>
    <t>Simeon, Serena</t>
  </si>
  <si>
    <t>serena_ah@hotmail.com</t>
  </si>
  <si>
    <t>Berniquez, Anabel</t>
  </si>
  <si>
    <t>RUE CABRINI</t>
  </si>
  <si>
    <t>H1T2J7</t>
  </si>
  <si>
    <t>anaberniquez@outlook.fr</t>
  </si>
  <si>
    <t>Hersi, Hanan</t>
  </si>
  <si>
    <t>H8S3V2</t>
  </si>
  <si>
    <t>hananhersi.887@gmail.com</t>
  </si>
  <si>
    <t>Jacques, Victor</t>
  </si>
  <si>
    <t>RUE MARCOUX</t>
  </si>
  <si>
    <t>THETFORD MINES</t>
  </si>
  <si>
    <t>G6G3Y5</t>
  </si>
  <si>
    <t>victor.jacques18@icloud.com</t>
  </si>
  <si>
    <t>Starcencov, Denis</t>
  </si>
  <si>
    <t>RUE EGAN</t>
  </si>
  <si>
    <t>H4H1W5</t>
  </si>
  <si>
    <t>dstarcencov@gmail.com</t>
  </si>
  <si>
    <t>Fortin, Félix</t>
  </si>
  <si>
    <t>AV PARKVILLE</t>
  </si>
  <si>
    <t>felixafortin@gmail.com</t>
  </si>
  <si>
    <t>Hmissa, Malak</t>
  </si>
  <si>
    <t>H1R1Y6</t>
  </si>
  <si>
    <t>Malakhmissa10@gmail.com</t>
  </si>
  <si>
    <t>Rosier, Kétura Alanda Mina</t>
  </si>
  <si>
    <t>AV GARON</t>
  </si>
  <si>
    <t>H1H3T1</t>
  </si>
  <si>
    <t>rosierketura5@gmail.com</t>
  </si>
  <si>
    <t>Richer, Alexanne</t>
  </si>
  <si>
    <t>RUE JOSEPH-THÉBERGE</t>
  </si>
  <si>
    <t>SAINT-MATHIAS-SUR-RICHELIEU</t>
  </si>
  <si>
    <t>J3L6C5</t>
  </si>
  <si>
    <t>alexannericher2006@gmail.com</t>
  </si>
  <si>
    <t>St-Pierre, Deepak</t>
  </si>
  <si>
    <t>H2K2V4</t>
  </si>
  <si>
    <t>deepakstpierre442@gmail.com</t>
  </si>
  <si>
    <t>Nguega Djeukou, Ange Lionel</t>
  </si>
  <si>
    <t>AV DE LA PÉPINIÈRE</t>
  </si>
  <si>
    <t>H1N3N4</t>
  </si>
  <si>
    <t>nguegalionel@gmail.com</t>
  </si>
  <si>
    <t>Tatem, Maya</t>
  </si>
  <si>
    <t>Tatemm@csdmedu.ca</t>
  </si>
  <si>
    <t>Ionita, Sarah</t>
  </si>
  <si>
    <t>6E RUE</t>
  </si>
  <si>
    <t>H7V1M6</t>
  </si>
  <si>
    <t>sarah_ionita@yahoo.com</t>
  </si>
  <si>
    <t>Blais, Myriam</t>
  </si>
  <si>
    <t>RUE HÉLÈNE</t>
  </si>
  <si>
    <t>J6A2Z6</t>
  </si>
  <si>
    <t>myriblais07@icloud.com</t>
  </si>
  <si>
    <t>Gendreau-Faucher, Gabriel</t>
  </si>
  <si>
    <t>gabrielgf04@me.com</t>
  </si>
  <si>
    <t>Vincent, Coralie</t>
  </si>
  <si>
    <t>RUE DE LA PRUCHE</t>
  </si>
  <si>
    <t>J5Z4P3</t>
  </si>
  <si>
    <t>coraliev100@gmail.com</t>
  </si>
  <si>
    <t>Philippe, Thomas</t>
  </si>
  <si>
    <t>RUE PERRAS</t>
  </si>
  <si>
    <t>J3Y7S2</t>
  </si>
  <si>
    <t>thomphilippe15@gmail.com</t>
  </si>
  <si>
    <t>Gueye, Ndeye Soda</t>
  </si>
  <si>
    <t>RUE ROSALIE CADRON</t>
  </si>
  <si>
    <t>J5Z0A8</t>
  </si>
  <si>
    <t>sodag12@icloud.com</t>
  </si>
  <si>
    <t>Njemen Mbwa, Yan Tonny</t>
  </si>
  <si>
    <t>RUE SOUBIROUS</t>
  </si>
  <si>
    <t>H1X1C3</t>
  </si>
  <si>
    <t>tonnyakashi@gmail.com</t>
  </si>
  <si>
    <t>Nyampa, Abdoul Kader Guelani</t>
  </si>
  <si>
    <t>RUE DE PADOUE</t>
  </si>
  <si>
    <t>H1R1V7</t>
  </si>
  <si>
    <t>nyampakader6@gmail.com</t>
  </si>
  <si>
    <t>Cardinal, Blanche</t>
  </si>
  <si>
    <t>RUE CLAUDE</t>
  </si>
  <si>
    <t>blanchecardinal22@gmail.com</t>
  </si>
  <si>
    <t>Issi, Anabel</t>
  </si>
  <si>
    <t>H7N3V6</t>
  </si>
  <si>
    <t>issianabel@gmail.com</t>
  </si>
  <si>
    <t>Goze, Gruinan Grâce-Fabienne</t>
  </si>
  <si>
    <t>gracegoze2021@gmail.com</t>
  </si>
  <si>
    <t>Orozco Holguin, Ryan-Alexander</t>
  </si>
  <si>
    <t>H1Y1K9</t>
  </si>
  <si>
    <t>ryanorozcoh@hotmail.com</t>
  </si>
  <si>
    <t>Alouatni, Amir</t>
  </si>
  <si>
    <t>62E AV</t>
  </si>
  <si>
    <t>H7V2G8</t>
  </si>
  <si>
    <t>alouamir@gmail.com</t>
  </si>
  <si>
    <t>Francois, Geraldine</t>
  </si>
  <si>
    <t>AVE  LÉVESQUE</t>
  </si>
  <si>
    <t>fgeraldinefrancois@gmail.com</t>
  </si>
  <si>
    <t>Bouzidi, Wassim</t>
  </si>
  <si>
    <t>RUE DE PAISLEY</t>
  </si>
  <si>
    <t>H1S1V1</t>
  </si>
  <si>
    <t>yastroop@gmail.com</t>
  </si>
  <si>
    <t>Gendron Simard, Lee-Anne</t>
  </si>
  <si>
    <t>H1L1X8</t>
  </si>
  <si>
    <t>marie.line.sg@icloud.com</t>
  </si>
  <si>
    <t>Aït Siselmi, Cyrine</t>
  </si>
  <si>
    <t>H1Z1E9</t>
  </si>
  <si>
    <t>inettait@gmail.com</t>
  </si>
  <si>
    <t>Décarie, Alexandre</t>
  </si>
  <si>
    <t>alexandredecarie25@gmail.com</t>
  </si>
  <si>
    <t>Briedj, Hana Rima</t>
  </si>
  <si>
    <t>AVENUE DE LHÔTEL-DE-VILLE</t>
  </si>
  <si>
    <t>H2T2B1</t>
  </si>
  <si>
    <t>briedjh@outlook.fr</t>
  </si>
  <si>
    <t>François, Carl Flowens</t>
  </si>
  <si>
    <t>H1G1J2</t>
  </si>
  <si>
    <t>carlflowensfrancois@gmail.com</t>
  </si>
  <si>
    <t>Heredia Vargas, Sammuel</t>
  </si>
  <si>
    <t>AVENUE ADALBERT</t>
  </si>
  <si>
    <t>H4W2B1</t>
  </si>
  <si>
    <t>sammuelheredia16@gmail.com</t>
  </si>
  <si>
    <t>Gareau, Mathieu</t>
  </si>
  <si>
    <t>PLACE DE GRANBY</t>
  </si>
  <si>
    <t>H1N1V2</t>
  </si>
  <si>
    <t>gareaumathieu@gmail.com</t>
  </si>
  <si>
    <t>Le Clair, Charles-Alexandre</t>
  </si>
  <si>
    <t>H1Y3G7</t>
  </si>
  <si>
    <t>charlescl06@outlook.com</t>
  </si>
  <si>
    <t>McKenty, Azaleya</t>
  </si>
  <si>
    <t>PLACE TERRASSE BOUCHER</t>
  </si>
  <si>
    <t>J7W4K3</t>
  </si>
  <si>
    <t>azaleya.mckenty@icloud.com</t>
  </si>
  <si>
    <t>Zeineddine, Ali</t>
  </si>
  <si>
    <t>H1H4J1</t>
  </si>
  <si>
    <t>Mayazein@hotmail.ca</t>
  </si>
  <si>
    <t>Valdés Perron, Kael</t>
  </si>
  <si>
    <t>kaelvaldesperron@gmail.com</t>
  </si>
  <si>
    <t>Fortin-Magnan, Laurie</t>
  </si>
  <si>
    <t>RUE WESTERN</t>
  </si>
  <si>
    <t>WATERLOO</t>
  </si>
  <si>
    <t>J0E2N0</t>
  </si>
  <si>
    <t>laurie.fortinmagnan@gmail.com</t>
  </si>
  <si>
    <t>Robitaille, Sacha</t>
  </si>
  <si>
    <t>H2S2H8</t>
  </si>
  <si>
    <t>robitailles12@gmail.com</t>
  </si>
  <si>
    <t>Lemghari, Adam</t>
  </si>
  <si>
    <t>RUE GEORGES-CORBEIL</t>
  </si>
  <si>
    <t>H1P1S5</t>
  </si>
  <si>
    <t>lemghariada@gmail.com</t>
  </si>
  <si>
    <t>Méthot, Éloi</t>
  </si>
  <si>
    <t>RUE SOPHIE</t>
  </si>
  <si>
    <t>J7T1J6</t>
  </si>
  <si>
    <t>eloimethot@icloud.com</t>
  </si>
  <si>
    <t>Lavigne, Charles Antoine</t>
  </si>
  <si>
    <t>RUE AYERS</t>
  </si>
  <si>
    <t>J8H2S9</t>
  </si>
  <si>
    <t>charlou0990@hotmail.com</t>
  </si>
  <si>
    <t>Quevillon-Simard, Jolianne</t>
  </si>
  <si>
    <t>H3S1L4</t>
  </si>
  <si>
    <t>jolieqs@gmail.com</t>
  </si>
  <si>
    <t>Gamache, Gabrielle</t>
  </si>
  <si>
    <t>J5B1J8</t>
  </si>
  <si>
    <t>gabriellegam@hotmail.com</t>
  </si>
  <si>
    <t>Ibn Zakour, Narjisse</t>
  </si>
  <si>
    <t>RUE LE CORBUSIER</t>
  </si>
  <si>
    <t>H1R2K7</t>
  </si>
  <si>
    <t>dounou_21@hotmail.com</t>
  </si>
  <si>
    <t>Thiboutot, Clara</t>
  </si>
  <si>
    <t>J4Y3B4</t>
  </si>
  <si>
    <t>clara19@videotron.ca</t>
  </si>
  <si>
    <t>Rwendeye, Shema</t>
  </si>
  <si>
    <t>shemakerrey@gmail.com</t>
  </si>
  <si>
    <t>Rjeibia, Ilyes</t>
  </si>
  <si>
    <t>H1B1T5</t>
  </si>
  <si>
    <t>ilyesrjeibia130@gmail.com</t>
  </si>
  <si>
    <t>Landry, Colin</t>
  </si>
  <si>
    <t>354E AV</t>
  </si>
  <si>
    <t>SAINT-HIPPOLYTE</t>
  </si>
  <si>
    <t>J8A2Y4</t>
  </si>
  <si>
    <t>colinlandry118@gmail.com</t>
  </si>
  <si>
    <t>Benavides, Keyri Azucena</t>
  </si>
  <si>
    <t>key_azubonita@outlook.com</t>
  </si>
  <si>
    <t>Jean, Joël</t>
  </si>
  <si>
    <t>SLOANE AVENUE</t>
  </si>
  <si>
    <t>H3P1B6</t>
  </si>
  <si>
    <t>joeljean402@icloud.com</t>
  </si>
  <si>
    <t>Hurtubise, Jade</t>
  </si>
  <si>
    <t>TERRASSE BRODEUR</t>
  </si>
  <si>
    <t>J3Y6P2</t>
  </si>
  <si>
    <t>jade.hurtubise06@gmail.com</t>
  </si>
  <si>
    <t>Albert, Jorden's</t>
  </si>
  <si>
    <t>RUE REMBRANDT</t>
  </si>
  <si>
    <t>J5Y3R5</t>
  </si>
  <si>
    <t>jordensalbert@hotmail.com</t>
  </si>
  <si>
    <t>Althot, Daphnée</t>
  </si>
  <si>
    <t>RUE DE RENNES</t>
  </si>
  <si>
    <t>J6W1Y1</t>
  </si>
  <si>
    <t>daphnee5657@gmail.com</t>
  </si>
  <si>
    <t>ameliepelletier10@gmail.com</t>
  </si>
  <si>
    <t>Lemoyne, Charlie</t>
  </si>
  <si>
    <t>charlielemoyne@gmail.com</t>
  </si>
  <si>
    <t>Mossab, Fatiha</t>
  </si>
  <si>
    <t>H1K3G7</t>
  </si>
  <si>
    <t>mossab.fatiha@gmail.com</t>
  </si>
  <si>
    <t>Morin, Audrey</t>
  </si>
  <si>
    <t>audrey.morin1@gmail.com</t>
  </si>
  <si>
    <t>Li, Ji</t>
  </si>
  <si>
    <t>AVENUE HILLSIDE</t>
  </si>
  <si>
    <t>H3Z1V8</t>
  </si>
  <si>
    <t>jli0223@gmail.com</t>
  </si>
  <si>
    <t>Dahmoun, Lina</t>
  </si>
  <si>
    <t>H1P1L8</t>
  </si>
  <si>
    <t>linadahmoun@yahoo.com</t>
  </si>
  <si>
    <t>Landry Jimenez, Julianna</t>
  </si>
  <si>
    <t>RUE SIMON</t>
  </si>
  <si>
    <t>H1H2J6</t>
  </si>
  <si>
    <t>juliannalj22@gmail.com</t>
  </si>
  <si>
    <t>Ferland, Agathe</t>
  </si>
  <si>
    <t>RUE DU MARAIS</t>
  </si>
  <si>
    <t>SAINT-FERRÉOL-LES-NEIGES</t>
  </si>
  <si>
    <t>G0A3R0</t>
  </si>
  <si>
    <t>agatheferland@hotmail.com</t>
  </si>
  <si>
    <t>Maz, Aurélie</t>
  </si>
  <si>
    <t>H1X2K8</t>
  </si>
  <si>
    <t>aureliemazmarquis@gmail.com</t>
  </si>
  <si>
    <t>Merdassi, Nour</t>
  </si>
  <si>
    <t>RUE DE L'ÉLYSÉE</t>
  </si>
  <si>
    <t>H1S2W8</t>
  </si>
  <si>
    <t>nourelislammerdassi@gmail.com</t>
  </si>
  <si>
    <t>Robitaille, Alexis</t>
  </si>
  <si>
    <t>alexrobit07@gmail.com</t>
  </si>
  <si>
    <t>Ahmad, Malaika</t>
  </si>
  <si>
    <t>malaika.ahmad0110@gmail.com</t>
  </si>
  <si>
    <t>Bougie, Mai Linh</t>
  </si>
  <si>
    <t>RUE DE MARTIGNY</t>
  </si>
  <si>
    <t>J7P4K2</t>
  </si>
  <si>
    <t>mailinh.bougie@gmail.com</t>
  </si>
  <si>
    <t>Kherouf, Majda Ikram</t>
  </si>
  <si>
    <t>azozoabi@icloud.com</t>
  </si>
  <si>
    <t>Koval, Andriy</t>
  </si>
  <si>
    <t>H2E2C8</t>
  </si>
  <si>
    <t>andriykovalmtl@gmail.com</t>
  </si>
  <si>
    <t>Da Cunha, Joey</t>
  </si>
  <si>
    <t>joey.dacunha@outlook.fr</t>
  </si>
  <si>
    <t>Perreault, Brendan</t>
  </si>
  <si>
    <t>H1T3K7</t>
  </si>
  <si>
    <t>brendan.perreault@gmail.com</t>
  </si>
  <si>
    <t>Sangaré, Aminata</t>
  </si>
  <si>
    <t>RUE DE LA JOIE</t>
  </si>
  <si>
    <t>H7A3Z3</t>
  </si>
  <si>
    <t>sangareeaminata@gmail.com</t>
  </si>
  <si>
    <t>Sanoh, Assa</t>
  </si>
  <si>
    <t>RUE NEWTON</t>
  </si>
  <si>
    <t>J5Y3G9</t>
  </si>
  <si>
    <t>assasanoh15@gmail.com</t>
  </si>
  <si>
    <t>Geoffroy, Noélie</t>
  </si>
  <si>
    <t>nolie.geoffroy@yahoo.fr</t>
  </si>
  <si>
    <t>Grenon, Romane</t>
  </si>
  <si>
    <t>romane.grenon69@gmail.com</t>
  </si>
  <si>
    <t>Dumortier, Maëlys</t>
  </si>
  <si>
    <t>dumortiermaelys@gmail.com</t>
  </si>
  <si>
    <t>Néron, Julien</t>
  </si>
  <si>
    <t>julien.neron91@gmail.com</t>
  </si>
  <si>
    <t>Baillou, Nina</t>
  </si>
  <si>
    <t>H1N2J5</t>
  </si>
  <si>
    <t>baillounina@gmail.com</t>
  </si>
  <si>
    <t>Petrucci, Robin</t>
  </si>
  <si>
    <t>robinpetrucci69@gmail.com</t>
  </si>
  <si>
    <t>Bastide, Gabin</t>
  </si>
  <si>
    <t>gabin.bastide@iut-rodez.fr</t>
  </si>
  <si>
    <t>Level, Loïs</t>
  </si>
  <si>
    <t>17 E AVE</t>
  </si>
  <si>
    <t>H1X2R3</t>
  </si>
  <si>
    <t>lois.level@univ-lyon3.fr</t>
  </si>
  <si>
    <t>Sivanantharajah, Kunthavi</t>
  </si>
  <si>
    <t>kunthavi16@gmail.com</t>
  </si>
  <si>
    <t>Poinssot, Ilouma</t>
  </si>
  <si>
    <t>poinssot.ilouma@gmail.com</t>
  </si>
  <si>
    <t>Daneau, Manon</t>
  </si>
  <si>
    <t>AVENUE HÉROUX</t>
  </si>
  <si>
    <t>J2X2J6</t>
  </si>
  <si>
    <t>manondaneau@hotmail.com</t>
  </si>
  <si>
    <t>St-Pierre, Roxanne</t>
  </si>
  <si>
    <t>RANG DES ÉCOSSAIS</t>
  </si>
  <si>
    <t>SAINTE-BRIGIDE-D'IBERVILLE</t>
  </si>
  <si>
    <t>J0J1X0</t>
  </si>
  <si>
    <t>roxannestpierre09@gmail.com</t>
  </si>
  <si>
    <t>Tiomela Tameching, Rosine Laure</t>
  </si>
  <si>
    <t>JEAN-BELIVEAU</t>
  </si>
  <si>
    <t>J4J3C2</t>
  </si>
  <si>
    <t>rosinetioms@gmail.com</t>
  </si>
  <si>
    <t>Vatrano, Grégoire</t>
  </si>
  <si>
    <t>PLACE GILLES</t>
  </si>
  <si>
    <t>J5T3A8</t>
  </si>
  <si>
    <t>gregoirevatrano@gmail.com</t>
  </si>
  <si>
    <t>Carpentier, Kim</t>
  </si>
  <si>
    <t>RUE DE TOULOUSE</t>
  </si>
  <si>
    <t>H1N2A1</t>
  </si>
  <si>
    <t>kimcarpentier2005@gmail.com</t>
  </si>
  <si>
    <t>Bouti, Lenny</t>
  </si>
  <si>
    <t>genifabouti59@gmail.com</t>
  </si>
  <si>
    <t>Mboumba-Poungui, Francel</t>
  </si>
  <si>
    <t>AV CLAREMONT</t>
  </si>
  <si>
    <t>H3Z2P8</t>
  </si>
  <si>
    <t>francelmboumbapoungui@gmail.com</t>
  </si>
  <si>
    <t>Stroobants, Arthur</t>
  </si>
  <si>
    <t>arthur.stroobants@iut-rodez.fr</t>
  </si>
  <si>
    <t>Blanco Vega, Jorge</t>
  </si>
  <si>
    <t>blancojorge@me.com</t>
  </si>
  <si>
    <t>Lépine, Geneviève</t>
  </si>
  <si>
    <t>J2X1L7</t>
  </si>
  <si>
    <t>cutielepine@outlook.com</t>
  </si>
  <si>
    <t>Motzem Njitack, Lydie Diane</t>
  </si>
  <si>
    <t>dianelydie195@gmail.com</t>
  </si>
  <si>
    <t>Cormier, Charlotte</t>
  </si>
  <si>
    <t>AVENUE 1RE</t>
  </si>
  <si>
    <t>H1Y3A3</t>
  </si>
  <si>
    <t>cormier.charlotte0036@gmail.com</t>
  </si>
  <si>
    <t>Ethier, Cynthia</t>
  </si>
  <si>
    <t>RUE ADÉLARD-DUMAS</t>
  </si>
  <si>
    <t>J1E4M4</t>
  </si>
  <si>
    <t>cynthia.ethier@videotron.ca</t>
  </si>
  <si>
    <t>Imazatene, Amar</t>
  </si>
  <si>
    <t>H1M2W8</t>
  </si>
  <si>
    <t>gss10@outlook.fr</t>
  </si>
  <si>
    <t>Landry, Sylvie</t>
  </si>
  <si>
    <t>RUE SORENSEN</t>
  </si>
  <si>
    <t>G4S1B3</t>
  </si>
  <si>
    <t>sylvie.landry@cegepsi.ca</t>
  </si>
  <si>
    <t>Romain, Nohémy Christine</t>
  </si>
  <si>
    <t>H1L1K3</t>
  </si>
  <si>
    <t>Nohemy@live.ca</t>
  </si>
  <si>
    <t>Roy, Sabrina</t>
  </si>
  <si>
    <t>sabrinaroy56@hotmail.com</t>
  </si>
  <si>
    <t>Damitier, Yonel</t>
  </si>
  <si>
    <t>AVENUE BOSSUET</t>
  </si>
  <si>
    <t>H1G4G9</t>
  </si>
  <si>
    <t>damitieryonel@gmail.com</t>
  </si>
  <si>
    <t>Halouane, Lynda</t>
  </si>
  <si>
    <t>RUE DU PAINTER CIRCLE</t>
  </si>
  <si>
    <t>H4L3C4</t>
  </si>
  <si>
    <t>halouane.lynda@yahoo.com</t>
  </si>
  <si>
    <t>Lecours, Jennifer</t>
  </si>
  <si>
    <t>BOULEVARD DE VERSAILLES</t>
  </si>
  <si>
    <t>J7J0V4</t>
  </si>
  <si>
    <t>jenniferlecours@outlook.com</t>
  </si>
  <si>
    <t>Saint Preux, Fabia</t>
  </si>
  <si>
    <t>AVENUE BRITTANY</t>
  </si>
  <si>
    <t>H3P1A4</t>
  </si>
  <si>
    <t>fabhyspl@yahoo.fr</t>
  </si>
  <si>
    <t>Ayewoanou, Kwami Mawuko Sossavi</t>
  </si>
  <si>
    <t>RUE DES MERLES</t>
  </si>
  <si>
    <t>G7X8B3</t>
  </si>
  <si>
    <t>mayewoanou@gmail.com</t>
  </si>
  <si>
    <t>Saha, Boyaka Hannah Georgette</t>
  </si>
  <si>
    <t>AVENUE INDUSTRIELLE</t>
  </si>
  <si>
    <t>G3K1M9</t>
  </si>
  <si>
    <t>saha.hannah@gmail.com</t>
  </si>
  <si>
    <t>Rahmani, Hyba-Kholoud</t>
  </si>
  <si>
    <t>AVENUE DE PETERBOROUGH</t>
  </si>
  <si>
    <t>H1K1H3</t>
  </si>
  <si>
    <t>rahmanih0607@gmail.com</t>
  </si>
  <si>
    <t>Tchoudenou Tchaleu, Serge Quentin</t>
  </si>
  <si>
    <t>tchaleuquentin@yahoo.fr</t>
  </si>
  <si>
    <t>Amisial, Frantz</t>
  </si>
  <si>
    <t>H1K1M3</t>
  </si>
  <si>
    <t>mikeamisial.123@gmail.com</t>
  </si>
  <si>
    <t>Akkouche, Zineb</t>
  </si>
  <si>
    <t>ninoakk29@gmail.com</t>
  </si>
  <si>
    <t>Saintonge, Noah</t>
  </si>
  <si>
    <t>noahscreeper@gmail.com</t>
  </si>
  <si>
    <t>Ramos Aguado, Daniel</t>
  </si>
  <si>
    <t>H1X2Z6</t>
  </si>
  <si>
    <t>alonzoramos28@hotmail.com</t>
  </si>
  <si>
    <t>Bouchami, Chaimaa</t>
  </si>
  <si>
    <t>RUE JUNEAU</t>
  </si>
  <si>
    <t>H1S1J4</t>
  </si>
  <si>
    <t>bouchami.chaimaa@gmail.com</t>
  </si>
  <si>
    <t>El Ghourfi, Adam</t>
  </si>
  <si>
    <t>H2B2V5</t>
  </si>
  <si>
    <t>adamelghourfi47@gmail.com</t>
  </si>
  <si>
    <t>Slimane, Amenallah</t>
  </si>
  <si>
    <t>H1Z2H5</t>
  </si>
  <si>
    <t>amenallahslimane2@gmail.com</t>
  </si>
  <si>
    <t>Atoui, Romaïssa</t>
  </si>
  <si>
    <t>H1K3G4</t>
  </si>
  <si>
    <t>atouiromaissa@gmail.com</t>
  </si>
  <si>
    <t>Yekple-Hannaoui, Shady</t>
  </si>
  <si>
    <t>H1T1E2</t>
  </si>
  <si>
    <t>yekple-hannaouis@csdmedu.ca</t>
  </si>
  <si>
    <t>Diallo, Mariam</t>
  </si>
  <si>
    <t>H4L5E8</t>
  </si>
  <si>
    <t>Maridial3@icloud.com</t>
  </si>
  <si>
    <t>Khodja, Adam Ryan</t>
  </si>
  <si>
    <t>AVENUE ÉMARD</t>
  </si>
  <si>
    <t>H4E2C5</t>
  </si>
  <si>
    <t>ryankho97@gmail.com</t>
  </si>
  <si>
    <t>Pushpanathan, Mathumithan</t>
  </si>
  <si>
    <t>RUE DUJARIÉ</t>
  </si>
  <si>
    <t>H1R1K1</t>
  </si>
  <si>
    <t>push.mathu2@gmail.com</t>
  </si>
  <si>
    <t>Mongiat, Jimmy</t>
  </si>
  <si>
    <t>AV LENNOX</t>
  </si>
  <si>
    <t>H3S2N8</t>
  </si>
  <si>
    <t>j.a.mongiat@gmail.com</t>
  </si>
  <si>
    <t>Meza Crisostomo, Angello Tiago</t>
  </si>
  <si>
    <t>H1H5A4</t>
  </si>
  <si>
    <t>angellomeza@outlook.com</t>
  </si>
  <si>
    <t>Nséké, Sonya</t>
  </si>
  <si>
    <t>H3W2E7</t>
  </si>
  <si>
    <t>nsekesonya@gmail.com</t>
  </si>
  <si>
    <t>Diebaté, Lountang</t>
  </si>
  <si>
    <t>lountang@gmail.com</t>
  </si>
  <si>
    <t>Pham, Tan Phuoc Martin</t>
  </si>
  <si>
    <t>H2E2P8</t>
  </si>
  <si>
    <t>martinpham.tan@gmail.com</t>
  </si>
  <si>
    <t>El Jihad, Kenza</t>
  </si>
  <si>
    <t>12ÈME</t>
  </si>
  <si>
    <t>H1X3A1</t>
  </si>
  <si>
    <t>elj.kenza@gmail.com</t>
  </si>
  <si>
    <t>Thouin, Nicolas</t>
  </si>
  <si>
    <t>J6X0A2</t>
  </si>
  <si>
    <t>nicolasthouin@hotmail.com</t>
  </si>
  <si>
    <t>Crevier, Mary-Lune</t>
  </si>
  <si>
    <t>TURGEON STREET</t>
  </si>
  <si>
    <t>H4C2N3</t>
  </si>
  <si>
    <t>mary_lune@outlook.com</t>
  </si>
  <si>
    <t>Julien, Jayson-Themy</t>
  </si>
  <si>
    <t>H7P4X7</t>
  </si>
  <si>
    <t>jaysonthejulien@gmail.com</t>
  </si>
  <si>
    <t>Merah, Khelil</t>
  </si>
  <si>
    <t>merahkhelil05@gmail.com</t>
  </si>
  <si>
    <t>Sharifzadeh, Shervin</t>
  </si>
  <si>
    <t>RUE GARDENVALE</t>
  </si>
  <si>
    <t>J3V2X1</t>
  </si>
  <si>
    <t>shervin.sharifzade224@gmail.com</t>
  </si>
  <si>
    <t>Saura, Victoria</t>
  </si>
  <si>
    <t>RUE LUCIEN-PAIEMENT</t>
  </si>
  <si>
    <t>H7N0B5</t>
  </si>
  <si>
    <t>victoria.saura@yahoo.ca</t>
  </si>
  <si>
    <t>Raby, Blair</t>
  </si>
  <si>
    <t>H7L5J2</t>
  </si>
  <si>
    <t>blair.raby@hotmail.com</t>
  </si>
  <si>
    <t>Dufresne, Emmanuel</t>
  </si>
  <si>
    <t>PLACE ISSLER</t>
  </si>
  <si>
    <t>J8V1H3</t>
  </si>
  <si>
    <t>emmanuel.dufresne@outlook.com</t>
  </si>
  <si>
    <t>Abbani, Yuba</t>
  </si>
  <si>
    <t>H1G3Y3</t>
  </si>
  <si>
    <t>abbaniyuba@hotmail.ca</t>
  </si>
  <si>
    <t>Lachhab, Mohamed-Riad</t>
  </si>
  <si>
    <t>RUE DES ORCHIDÉES</t>
  </si>
  <si>
    <t>J6V1E5</t>
  </si>
  <si>
    <t>lachhabm.riad@gmail.com</t>
  </si>
  <si>
    <t>Bouzeghoub, Sarah</t>
  </si>
  <si>
    <t>RUE BONNIVET</t>
  </si>
  <si>
    <t>sarahbouzeghoub1@gmail.com</t>
  </si>
  <si>
    <t>Hamza, Feriel</t>
  </si>
  <si>
    <t>AVENUE PHILIPPE-PANNETON</t>
  </si>
  <si>
    <t>H1E3R1</t>
  </si>
  <si>
    <t>hferiel236@icloud.com</t>
  </si>
  <si>
    <t>Toh, Ahileu Jonathan Esli</t>
  </si>
  <si>
    <t>H1L3L1</t>
  </si>
  <si>
    <t>jojolebingos@gmail.com</t>
  </si>
  <si>
    <t>Dubé-Gamache, Rhéa</t>
  </si>
  <si>
    <t>BOULEVARD QUINN</t>
  </si>
  <si>
    <t>J4H2M8</t>
  </si>
  <si>
    <t>rhea.dube.gamache@gmail.com</t>
  </si>
  <si>
    <t>Marcil, Félix</t>
  </si>
  <si>
    <t>H1B3Z9</t>
  </si>
  <si>
    <t>fm501752@gmail.com</t>
  </si>
  <si>
    <t>Bouagada, Maissa</t>
  </si>
  <si>
    <t>H1K1T4</t>
  </si>
  <si>
    <t>maissabouagada585@gmail.com</t>
  </si>
  <si>
    <t>Pina-Grushovaya, Diana</t>
  </si>
  <si>
    <t>J7P2V8</t>
  </si>
  <si>
    <t>Dianapina726@gmail.com</t>
  </si>
  <si>
    <t>Atilus, Taïna Valérie</t>
  </si>
  <si>
    <t>AV BALZAC</t>
  </si>
  <si>
    <t>H1H3M7</t>
  </si>
  <si>
    <t>atilustaina11@gmail.com</t>
  </si>
  <si>
    <t>Yahiaoui, Yamina</t>
  </si>
  <si>
    <t>H1Z1M7</t>
  </si>
  <si>
    <t>yamina.yahiaoui02@gmail.com</t>
  </si>
  <si>
    <t>Arthur, Wandania</t>
  </si>
  <si>
    <t>DE MARTIGNY</t>
  </si>
  <si>
    <t>H1Z2P1</t>
  </si>
  <si>
    <t>wandaniaarthur6@gmail.com</t>
  </si>
  <si>
    <t>Sperano, Coralie</t>
  </si>
  <si>
    <t>H2M2C9</t>
  </si>
  <si>
    <t>speranocoralie@gmail.com</t>
  </si>
  <si>
    <t>Lamore, Tcharly</t>
  </si>
  <si>
    <t>RUE TIFFIN</t>
  </si>
  <si>
    <t>H1K2E1</t>
  </si>
  <si>
    <t>tcharly.lamore@gmail.com</t>
  </si>
  <si>
    <t>Yehia, Bashir</t>
  </si>
  <si>
    <t>RUE OMER</t>
  </si>
  <si>
    <t>H7R6A7</t>
  </si>
  <si>
    <t>bashir.yehia@icloud.com</t>
  </si>
  <si>
    <t>Bouchelghoum, Abdel Nour</t>
  </si>
  <si>
    <t>RUE PAISLEY</t>
  </si>
  <si>
    <t>H1S1V2</t>
  </si>
  <si>
    <t>nlg.nvm@gmail.com</t>
  </si>
  <si>
    <t>Mubuti, Gloriane Vumpam</t>
  </si>
  <si>
    <t>RUE BAYNE</t>
  </si>
  <si>
    <t>H8R2G9</t>
  </si>
  <si>
    <t>glorianemubuti1234@gmail.com</t>
  </si>
  <si>
    <t>Benkhellat, Wassim</t>
  </si>
  <si>
    <t>RUE CHOPIN</t>
  </si>
  <si>
    <t>J5Z4R6</t>
  </si>
  <si>
    <t>Wassimbenkh2@gmail.com</t>
  </si>
  <si>
    <t>Côté Guillemette, Daphné</t>
  </si>
  <si>
    <t>AVENUE DES ORMEAUX</t>
  </si>
  <si>
    <t>H1K2X5</t>
  </si>
  <si>
    <t>daphnecoteg@gmail.com</t>
  </si>
  <si>
    <t>Nzinga, Nsimba Lauren</t>
  </si>
  <si>
    <t>laurennzinga@gmail.com</t>
  </si>
  <si>
    <t>Safou, Mouaad</t>
  </si>
  <si>
    <t>H1H2J1</t>
  </si>
  <si>
    <t>msafou007@gmail.com</t>
  </si>
  <si>
    <t>Fouzar, Malak</t>
  </si>
  <si>
    <t>RUE DUSAGUENAY</t>
  </si>
  <si>
    <t>H1R2M6</t>
  </si>
  <si>
    <t>malgg322@gmail.com</t>
  </si>
  <si>
    <t>Fita Kabisi, Lucas</t>
  </si>
  <si>
    <t>RUE RICHARDSON</t>
  </si>
  <si>
    <t>H3K1G7</t>
  </si>
  <si>
    <t>lucasfkabisi@gmail.com</t>
  </si>
  <si>
    <t>Isidoro Tavares, Isaac</t>
  </si>
  <si>
    <t>BOULEVARD LÉVESQUE EST</t>
  </si>
  <si>
    <t>H7G1C2</t>
  </si>
  <si>
    <t>isaacisitavares@icloud.com</t>
  </si>
  <si>
    <t>Feugou Foleng, Junior</t>
  </si>
  <si>
    <t>H4L3N4</t>
  </si>
  <si>
    <t>juniorfeugou96@gmail.com</t>
  </si>
  <si>
    <t>Labidi, Mohamed Yassine</t>
  </si>
  <si>
    <t>AV DUPUIS</t>
  </si>
  <si>
    <t>H3T1E8</t>
  </si>
  <si>
    <t>mohamedyassinelabidi@gmail.com</t>
  </si>
  <si>
    <t>Bozkurt, Nergiz</t>
  </si>
  <si>
    <t>H4N0B3</t>
  </si>
  <si>
    <t>nergisbzk@gmail.com</t>
  </si>
  <si>
    <t>Nadarajan, Vikneshvar</t>
  </si>
  <si>
    <t>RUE LIPPÉ</t>
  </si>
  <si>
    <t>H4R1M1</t>
  </si>
  <si>
    <t>vikneshvarthevindran@gmail.com</t>
  </si>
  <si>
    <t>Sellathurai, Senica</t>
  </si>
  <si>
    <t>H1A1K2</t>
  </si>
  <si>
    <t>senica.s20@gmail.com</t>
  </si>
  <si>
    <t>Thibault, Léa</t>
  </si>
  <si>
    <t>TERRASSE COUTU</t>
  </si>
  <si>
    <t>H7J1A6</t>
  </si>
  <si>
    <t>03leathibault@gmail.com</t>
  </si>
  <si>
    <t>Mai, Philip</t>
  </si>
  <si>
    <t>H2P2R1</t>
  </si>
  <si>
    <t>philipmai329@gmail.com</t>
  </si>
  <si>
    <t>Mehani, Sirine</t>
  </si>
  <si>
    <t>H1P2K4</t>
  </si>
  <si>
    <t>sirinemehani2003@gmail.com</t>
  </si>
  <si>
    <t>Schoolcraft, Jacob</t>
  </si>
  <si>
    <t>88E AV</t>
  </si>
  <si>
    <t>H7W3E5</t>
  </si>
  <si>
    <t>schoolcraftjacob04@gmail.com</t>
  </si>
  <si>
    <t>Quezada Dos Santos, Cassandra</t>
  </si>
  <si>
    <t>H1J2B2</t>
  </si>
  <si>
    <t>dcassandra096@gmail.com</t>
  </si>
  <si>
    <t>Mestiri, Emna</t>
  </si>
  <si>
    <t>NOTRE-DAME-DES-PRAIRIES</t>
  </si>
  <si>
    <t>J6E7R5</t>
  </si>
  <si>
    <t>mestiriemna11@gmail.com</t>
  </si>
  <si>
    <t>El-Khoury, Tomi</t>
  </si>
  <si>
    <t>VICTOR HUGO</t>
  </si>
  <si>
    <t>H3C4P1</t>
  </si>
  <si>
    <t>tomikh30@hotmail.com</t>
  </si>
  <si>
    <t>Forcier, Luca</t>
  </si>
  <si>
    <t>BOULEVARD DE DEUX-MONTAGNES</t>
  </si>
  <si>
    <t>J7R6M9</t>
  </si>
  <si>
    <t>lucaforcier007@gmail.com</t>
  </si>
  <si>
    <t>Abdi, Oubay</t>
  </si>
  <si>
    <t>AVENUE DUBÉ</t>
  </si>
  <si>
    <t>H1B4X2</t>
  </si>
  <si>
    <t>oubay.abdi@gmail.com</t>
  </si>
  <si>
    <t>Pierre, Niseberthe</t>
  </si>
  <si>
    <t>H1M1Z3</t>
  </si>
  <si>
    <t>niseberthepierre@gmail.com</t>
  </si>
  <si>
    <t>Diakiese, Victoria</t>
  </si>
  <si>
    <t>H1K1M4</t>
  </si>
  <si>
    <t>victodiak09@gmail.com</t>
  </si>
  <si>
    <t>Mc Duff-Vincent, Simon</t>
  </si>
  <si>
    <t>AZILDA</t>
  </si>
  <si>
    <t>H1K2Z6</t>
  </si>
  <si>
    <t>simon.mcduff-vincent@outlook.com</t>
  </si>
  <si>
    <t>Bégin, Mélodie</t>
  </si>
  <si>
    <t>PLACE DE GRYON</t>
  </si>
  <si>
    <t>J6X2K3</t>
  </si>
  <si>
    <t>m3lodiebegin@gmail.com</t>
  </si>
  <si>
    <t>Bosch, Chloé</t>
  </si>
  <si>
    <t>H1X2V4</t>
  </si>
  <si>
    <t>chloebosch8555@gmail.com</t>
  </si>
  <si>
    <t>Diallo, Saïkou Yaya</t>
  </si>
  <si>
    <t>H1W3S1</t>
  </si>
  <si>
    <t>saikou200513@gmail.com</t>
  </si>
  <si>
    <t>Le, Tony</t>
  </si>
  <si>
    <t>H2A3C1</t>
  </si>
  <si>
    <t>tony.le2204@gmail.com</t>
  </si>
  <si>
    <t>Petit-Frère, Anne Midlyne</t>
  </si>
  <si>
    <t>WILFRID-PELLETIER</t>
  </si>
  <si>
    <t>H7S1K2</t>
  </si>
  <si>
    <t>annemid321@yahoo.com</t>
  </si>
  <si>
    <t>Petit-Frère, Johvanny Jeehan</t>
  </si>
  <si>
    <t>H1C1S5</t>
  </si>
  <si>
    <t>gnadjhy07@gmail.com</t>
  </si>
  <si>
    <t>Cherbal, Sabria</t>
  </si>
  <si>
    <t>RUE JULES-HUOT</t>
  </si>
  <si>
    <t>H1A5T5</t>
  </si>
  <si>
    <t>sabriacherbal@icloud.com</t>
  </si>
  <si>
    <t>Hammadi, Myriam-Noor</t>
  </si>
  <si>
    <t>DE CASTELNAU OUEST</t>
  </si>
  <si>
    <t>H2R2W3</t>
  </si>
  <si>
    <t>myriamnoor11@outlook.com</t>
  </si>
  <si>
    <t>Mei, Kefan</t>
  </si>
  <si>
    <t>ANNE-HEBERT</t>
  </si>
  <si>
    <t>H1N0B5</t>
  </si>
  <si>
    <t>kefanmei@gmail.com</t>
  </si>
  <si>
    <t>Cherair, Amine</t>
  </si>
  <si>
    <t>H4N1M9</t>
  </si>
  <si>
    <t>aminecherair2007@gmail.com</t>
  </si>
  <si>
    <t>Belhocine, Nadine</t>
  </si>
  <si>
    <t>RUE DES SONGE</t>
  </si>
  <si>
    <t>H7A3Y7</t>
  </si>
  <si>
    <t>nadine-belhocine@hotmail.com</t>
  </si>
  <si>
    <t>Cherbal, Myriam</t>
  </si>
  <si>
    <t>myriemcherbal@icloud.com</t>
  </si>
  <si>
    <t>Madani, Mohamed Abd El Bassit</t>
  </si>
  <si>
    <t>BOUL GEORGES-VANIER</t>
  </si>
  <si>
    <t>madanimohamed2006@gmail.com</t>
  </si>
  <si>
    <t>Zobiri, Said</t>
  </si>
  <si>
    <t>zobirii@icloud.com</t>
  </si>
  <si>
    <t>Medjekane, Kacem Imad Eddine</t>
  </si>
  <si>
    <t>H1S1W1</t>
  </si>
  <si>
    <t>killerbost51@gmail.com</t>
  </si>
  <si>
    <t>Alexandre-Léandre, Stacy</t>
  </si>
  <si>
    <t>RUE DE DOMRÉMY</t>
  </si>
  <si>
    <t>H1R2N8</t>
  </si>
  <si>
    <t>stacyalexandre22@hotmail.com</t>
  </si>
  <si>
    <t>Zeghe, Fnan</t>
  </si>
  <si>
    <t>RUE LAMARCHE</t>
  </si>
  <si>
    <t>H7X3M7</t>
  </si>
  <si>
    <t>fnanzeghe3@hotmail.com</t>
  </si>
  <si>
    <t>Nguia Dondon Ndjamen, Alexandra</t>
  </si>
  <si>
    <t>AVENUE AIRD</t>
  </si>
  <si>
    <t>H1V2W8</t>
  </si>
  <si>
    <t>alexandradianeblanche9595@gmail.com</t>
  </si>
  <si>
    <t>Pierre-Canel, Esther</t>
  </si>
  <si>
    <t>H7H1N5</t>
  </si>
  <si>
    <t>estherpcj@hotmail.com</t>
  </si>
  <si>
    <t>Allam, Lina</t>
  </si>
  <si>
    <t>H1V2E8</t>
  </si>
  <si>
    <t>allamlina44@gmail.com</t>
  </si>
  <si>
    <t>Abderrahman, Taha</t>
  </si>
  <si>
    <t>H7N2G3</t>
  </si>
  <si>
    <t>tahaabde93@gmail.com</t>
  </si>
  <si>
    <t>Khaout Belkadi Zoubir, Sirine</t>
  </si>
  <si>
    <t>H1S3B7</t>
  </si>
  <si>
    <t>kbzsi@yahoo.com</t>
  </si>
  <si>
    <t>Kolan, Eliott</t>
  </si>
  <si>
    <t>H2V1M5</t>
  </si>
  <si>
    <t>eliottkolan@gmail.com</t>
  </si>
  <si>
    <t>De Vos, Mel-Lee</t>
  </si>
  <si>
    <t>H2V2B4</t>
  </si>
  <si>
    <t>minadevos1@gmail.com</t>
  </si>
  <si>
    <t>Fréchette, Etienne</t>
  </si>
  <si>
    <t>H1H4E3</t>
  </si>
  <si>
    <t>frechetteetienne@gmail.com</t>
  </si>
  <si>
    <t>Kaci-Aissa, Ramy</t>
  </si>
  <si>
    <t>RUE KARL-LÉVÊQUE</t>
  </si>
  <si>
    <t>H1C2G9</t>
  </si>
  <si>
    <t>Kaciramy8608@gmail.com</t>
  </si>
  <si>
    <t>Talbi, Romaissa</t>
  </si>
  <si>
    <t>ALLÉE-LÉO-BRICAULT</t>
  </si>
  <si>
    <t>romaissa.talbi@outlook.fr</t>
  </si>
  <si>
    <t>Ezziane, Racim</t>
  </si>
  <si>
    <t>H4N0B5</t>
  </si>
  <si>
    <t>ezzracim106@gmail.com</t>
  </si>
  <si>
    <t>Peng, Nicolas</t>
  </si>
  <si>
    <t>H4L1J8</t>
  </si>
  <si>
    <t>peng.nicolas@hotmail.com</t>
  </si>
  <si>
    <t>Abouriche, Akram</t>
  </si>
  <si>
    <t>RUE BRUNETIÈRE</t>
  </si>
  <si>
    <t>H1S1B7</t>
  </si>
  <si>
    <t>abouricheakram0@gmail.com</t>
  </si>
  <si>
    <t>Lu, Jiahe</t>
  </si>
  <si>
    <t>BOULEVARD ÉDOUARD-MONTPETIT</t>
  </si>
  <si>
    <t>H3T1J3</t>
  </si>
  <si>
    <t>ljiahe296@gmail.com</t>
  </si>
  <si>
    <t>Acherar, Mehdi</t>
  </si>
  <si>
    <t>RUE ROBERT-STEPHENSON</t>
  </si>
  <si>
    <t>H1E6S3</t>
  </si>
  <si>
    <t>Mehdiacherar@hotmail.com</t>
  </si>
  <si>
    <t>Migliorisi, Ugo</t>
  </si>
  <si>
    <t>AVENUE LETOURNEUX</t>
  </si>
  <si>
    <t>H1V2P4</t>
  </si>
  <si>
    <t>weysi08@gmail.com</t>
  </si>
  <si>
    <t>El-Hamid, Ismael</t>
  </si>
  <si>
    <t>77E AV</t>
  </si>
  <si>
    <t>H7V3A2</t>
  </si>
  <si>
    <t>ismael_elhamid@outlook.com</t>
  </si>
  <si>
    <t>Shim, Minhyeok</t>
  </si>
  <si>
    <t>H2A2V6</t>
  </si>
  <si>
    <t>123wildflower123@gmail.com</t>
  </si>
  <si>
    <t>Nechadi, Abdennacer</t>
  </si>
  <si>
    <t>H2P1Z7</t>
  </si>
  <si>
    <t>abdennacernechadi@gmail.com</t>
  </si>
  <si>
    <t>Côté, Florence</t>
  </si>
  <si>
    <t>H1Y3C2</t>
  </si>
  <si>
    <t>floflo1999@yahoo.ca</t>
  </si>
  <si>
    <t>Fernandez Hernandez, Daniel</t>
  </si>
  <si>
    <t>H1Y2S5</t>
  </si>
  <si>
    <t>dannyfh777@gmail.com</t>
  </si>
  <si>
    <t>Houle, Michèle</t>
  </si>
  <si>
    <t>BOURBONNIÈRE</t>
  </si>
  <si>
    <t>H1W3P5</t>
  </si>
  <si>
    <t>cocotte0873@gmail.com</t>
  </si>
  <si>
    <t>Castillo Robles, Gabriela Del Carmen</t>
  </si>
  <si>
    <t>gabcasrob171@gmail.com</t>
  </si>
  <si>
    <t>Zaidi, M'Hamed Ramy</t>
  </si>
  <si>
    <t>H1M2G2</t>
  </si>
  <si>
    <t>ramy-zaidi@outlook.fr</t>
  </si>
  <si>
    <t>Shakamay, Maïka</t>
  </si>
  <si>
    <t>H1Z4B7</t>
  </si>
  <si>
    <t>maikashakamay@gmail.com</t>
  </si>
  <si>
    <t>Ventura-Hernandez, Miranda</t>
  </si>
  <si>
    <t>H2L4H8</t>
  </si>
  <si>
    <t>beyobe123@hotmail.com</t>
  </si>
  <si>
    <t>Dib, July</t>
  </si>
  <si>
    <t>RUE VARENNES</t>
  </si>
  <si>
    <t>H7M1V7</t>
  </si>
  <si>
    <t>dibj258@gmail.com</t>
  </si>
  <si>
    <t>Yahia, Abdellah</t>
  </si>
  <si>
    <t>H1S2R1</t>
  </si>
  <si>
    <t>abdellah.yahia213@gmail.com</t>
  </si>
  <si>
    <t>Youbi, Rayane</t>
  </si>
  <si>
    <t>RUE DES TULIPES</t>
  </si>
  <si>
    <t>H1G2A1</t>
  </si>
  <si>
    <t>youbir90@gmail.com</t>
  </si>
  <si>
    <t>Cherfi, Camila</t>
  </si>
  <si>
    <t>cherficamila@gmail.com</t>
  </si>
  <si>
    <t>Sid-Otmane, Agnès</t>
  </si>
  <si>
    <t>ameliapolly28@gmail.com</t>
  </si>
  <si>
    <t>Aklouche, Yahia Ahmed</t>
  </si>
  <si>
    <t>AVENUE MACKAY</t>
  </si>
  <si>
    <t>H1H5G3</t>
  </si>
  <si>
    <t>Akloucheyahia@gmail.com</t>
  </si>
  <si>
    <t>Touon, Adriana</t>
  </si>
  <si>
    <t>H3S1J8</t>
  </si>
  <si>
    <t>adrianakeliatouon@gmail.com</t>
  </si>
  <si>
    <t>Boyko, Maksym</t>
  </si>
  <si>
    <t>H2K3C3</t>
  </si>
  <si>
    <t>maksolga.1212@gmail.com</t>
  </si>
  <si>
    <t>Hoang, Anh</t>
  </si>
  <si>
    <t>RUE JACQUES-ODELIN</t>
  </si>
  <si>
    <t>J3H5W7</t>
  </si>
  <si>
    <t>anh.thieuhoang1109@gmail.com</t>
  </si>
  <si>
    <t>Ramachandran, Navina</t>
  </si>
  <si>
    <t>AV DE BRUXELLES</t>
  </si>
  <si>
    <t>H1H4R5</t>
  </si>
  <si>
    <t>navirama12@gmail.com</t>
  </si>
  <si>
    <t>Wang, Shu Teng</t>
  </si>
  <si>
    <t>H3T1W9</t>
  </si>
  <si>
    <t>shuteng1996@hotmail.com</t>
  </si>
  <si>
    <t>Barreno Villanueva, Aaron</t>
  </si>
  <si>
    <t>H2P2E6</t>
  </si>
  <si>
    <t>bara81110509@gmail.com</t>
  </si>
  <si>
    <t>Kaoua, Ryad</t>
  </si>
  <si>
    <t>RUE ODILE</t>
  </si>
  <si>
    <t>H7R5X1</t>
  </si>
  <si>
    <t>ryadkaoua08@gmail.com</t>
  </si>
  <si>
    <t>N'siala Kinsola, Fremi</t>
  </si>
  <si>
    <t>AVENUE MERCIER</t>
  </si>
  <si>
    <t>H1L5H4</t>
  </si>
  <si>
    <t>Freminsiala@icloud.com</t>
  </si>
  <si>
    <t>Ait Ouamer, Abdellatif</t>
  </si>
  <si>
    <t>aitouamera@outlook.com</t>
  </si>
  <si>
    <t>Bourezane, Ilyana</t>
  </si>
  <si>
    <t>RUE BRAILLE</t>
  </si>
  <si>
    <t>H4P1N6</t>
  </si>
  <si>
    <t>ilyanabourezane@gmail.com</t>
  </si>
  <si>
    <t>Abou Shahda, Amir</t>
  </si>
  <si>
    <t>RUE DELORME</t>
  </si>
  <si>
    <t>H7M2W6</t>
  </si>
  <si>
    <t>amiraboushahda@gmail.com</t>
  </si>
  <si>
    <t>Metellus, Jehud Othniel</t>
  </si>
  <si>
    <t>BOUL ROI-RENÉ</t>
  </si>
  <si>
    <t>H1K3G5</t>
  </si>
  <si>
    <t>jehudmetellus@outlook.com</t>
  </si>
  <si>
    <t>Kinaoui, Moncef</t>
  </si>
  <si>
    <t>J6X0G9</t>
  </si>
  <si>
    <t>moncefkin@gmail.com</t>
  </si>
  <si>
    <t>Ben Jannet, Tayeb</t>
  </si>
  <si>
    <t>H2L3T9</t>
  </si>
  <si>
    <t>bentayeb.jannet@gmail.com</t>
  </si>
  <si>
    <t>Poitras, Léopold</t>
  </si>
  <si>
    <t>H2R2A2</t>
  </si>
  <si>
    <t>leop.poitras@gmail.com</t>
  </si>
  <si>
    <t>Tagne, Mike Randy</t>
  </si>
  <si>
    <t>H1E2A4</t>
  </si>
  <si>
    <t>tagnemikerandy@gmail.com</t>
  </si>
  <si>
    <t>St-Vil Labrie, Charles-Audain</t>
  </si>
  <si>
    <t>J6J3P2</t>
  </si>
  <si>
    <t>auximore2018@gmail.com</t>
  </si>
  <si>
    <t>Harkas, Souha</t>
  </si>
  <si>
    <t>AVENUE LAURIER</t>
  </si>
  <si>
    <t>H1G4B2</t>
  </si>
  <si>
    <t>souhaharkas94@gmail.com</t>
  </si>
  <si>
    <t>Don, Daliyah</t>
  </si>
  <si>
    <t>H1R2W1</t>
  </si>
  <si>
    <t>daliyahdon@gmail.com</t>
  </si>
  <si>
    <t>Saint Sauveur, Clarens Adbeel</t>
  </si>
  <si>
    <t>RUE FARLY</t>
  </si>
  <si>
    <t>H1G2L7</t>
  </si>
  <si>
    <t>clarensfire@gmail.com</t>
  </si>
  <si>
    <t>Roy, Nathaniel</t>
  </si>
  <si>
    <t>H4E2C3</t>
  </si>
  <si>
    <t>nathanielroy24@hotmail.com</t>
  </si>
  <si>
    <t>Devalis, Nadelina</t>
  </si>
  <si>
    <t>H1Z2V2</t>
  </si>
  <si>
    <t>devalisnadelina@hotmail.com</t>
  </si>
  <si>
    <t>Biswas, Sapthadeep</t>
  </si>
  <si>
    <t>H1M1R3</t>
  </si>
  <si>
    <t>sapthadeepbiswas@gmail.com</t>
  </si>
  <si>
    <t>Kadache, Lehna</t>
  </si>
  <si>
    <t>6242283@collegemv.qc.ca</t>
  </si>
  <si>
    <t>Horth, Eloïse</t>
  </si>
  <si>
    <t>RUE DESPAROIS</t>
  </si>
  <si>
    <t>J5Z4W7</t>
  </si>
  <si>
    <t>eloise.horth@videotron.ca</t>
  </si>
  <si>
    <t>Bondrea, Andrei</t>
  </si>
  <si>
    <t>AVENUE HERTEL</t>
  </si>
  <si>
    <t>H7W3A3</t>
  </si>
  <si>
    <t>bondreaa4@gmail.com</t>
  </si>
  <si>
    <t>Mohiuddin, Ayman</t>
  </si>
  <si>
    <t>H2A3G9</t>
  </si>
  <si>
    <t>aymanmohiuddin0@gmail.com</t>
  </si>
  <si>
    <t>Dupuis Torres, Lisdani Daniela</t>
  </si>
  <si>
    <t>Lisdanitor@gmail.com</t>
  </si>
  <si>
    <t>Hamad, Nour</t>
  </si>
  <si>
    <t>RUE DU CHÂTELAIN</t>
  </si>
  <si>
    <t>J5Y3N3</t>
  </si>
  <si>
    <t>nour.h2022@outlook.com</t>
  </si>
  <si>
    <t>Theresias, Jenny</t>
  </si>
  <si>
    <t>H1G6E6</t>
  </si>
  <si>
    <t>duhitsjennica@gmail.com</t>
  </si>
  <si>
    <t>Hébert, Esteban</t>
  </si>
  <si>
    <t>H4E3M5</t>
  </si>
  <si>
    <t>hebertesteb@gmail.com</t>
  </si>
  <si>
    <t>Augustine, Dilan</t>
  </si>
  <si>
    <t>RUE SAINT-CHARLES</t>
  </si>
  <si>
    <t>H4R1B6</t>
  </si>
  <si>
    <t>dyzan26@gmail.com</t>
  </si>
  <si>
    <t>Jeanty, Maève Phoebé</t>
  </si>
  <si>
    <t>RUE CYNTHIA</t>
  </si>
  <si>
    <t>H7P4C1</t>
  </si>
  <si>
    <t>maevejeanty@hotmail.com</t>
  </si>
  <si>
    <t>Hleli, Nibel</t>
  </si>
  <si>
    <t>RUE DE CALAIS</t>
  </si>
  <si>
    <t>H7G4H4</t>
  </si>
  <si>
    <t>Nibelhleli@gmail.com</t>
  </si>
  <si>
    <t>Amarasingam, Kanisha</t>
  </si>
  <si>
    <t>H1V1B2</t>
  </si>
  <si>
    <t>kanisha252006@outlook.com</t>
  </si>
  <si>
    <t>Lounis, Omar</t>
  </si>
  <si>
    <t>H1H5G9</t>
  </si>
  <si>
    <t>omarlounis3@gmail.com</t>
  </si>
  <si>
    <t>Irmeche, Mohamed</t>
  </si>
  <si>
    <t>H2A2J6</t>
  </si>
  <si>
    <t>mohamedirm@hotmail.com</t>
  </si>
  <si>
    <t>Lubin, Samuel-Daniel</t>
  </si>
  <si>
    <t>RUE PÉRUSSE</t>
  </si>
  <si>
    <t>H7H3C1</t>
  </si>
  <si>
    <t>samueldan24@icloud.com</t>
  </si>
  <si>
    <t>Tlili, Lyna</t>
  </si>
  <si>
    <t>H1T1T6</t>
  </si>
  <si>
    <t>Lyna.tlili@icloud.com</t>
  </si>
  <si>
    <t>Ziane, Aness Mehdy</t>
  </si>
  <si>
    <t>H1K3T3</t>
  </si>
  <si>
    <t>zianeaness2@gmail.com</t>
  </si>
  <si>
    <t>Jaafar, Loulou</t>
  </si>
  <si>
    <t>CROISSANT D'AILLEBOUST</t>
  </si>
  <si>
    <t>H7G4L3</t>
  </si>
  <si>
    <t>ja3farloulou@gmail.com</t>
  </si>
  <si>
    <t>Mathieu, Victoria Annaëlle</t>
  </si>
  <si>
    <t>RUE ROBESPIERRE</t>
  </si>
  <si>
    <t>J5Y3R4</t>
  </si>
  <si>
    <t>victoriamathieu741@gmail.com</t>
  </si>
  <si>
    <t>Andrusenko, Ivan</t>
  </si>
  <si>
    <t>AV. SIR WALTER SCOTT</t>
  </si>
  <si>
    <t>H4W2T7</t>
  </si>
  <si>
    <t>robotcat2006@gmail.com</t>
  </si>
  <si>
    <t>Balamohan, Jasmihan</t>
  </si>
  <si>
    <t>H3N2A5</t>
  </si>
  <si>
    <t>jasmihan@hotmail.com</t>
  </si>
  <si>
    <t>Valbrun, Jessica</t>
  </si>
  <si>
    <t>JOSEPH-RENAUD</t>
  </si>
  <si>
    <t>valbrunjessica85@gmail.com</t>
  </si>
  <si>
    <t>Barthelemy, My Erley</t>
  </si>
  <si>
    <t>myerleybb@gmail.com</t>
  </si>
  <si>
    <t>Chafiq, Hamza</t>
  </si>
  <si>
    <t>H1C0B5</t>
  </si>
  <si>
    <t>hamza.chafiq07@gmail.com</t>
  </si>
  <si>
    <t>Habibi, Ulfat Jan</t>
  </si>
  <si>
    <t>H7Y2H3</t>
  </si>
  <si>
    <t>ulfathabibi89323@gmail.com</t>
  </si>
  <si>
    <t>St-Gelais, Elliot</t>
  </si>
  <si>
    <t>H3T1J5</t>
  </si>
  <si>
    <t>elliotsg67@gmail.com</t>
  </si>
  <si>
    <t>Shaheen, Saira</t>
  </si>
  <si>
    <t>AV WISEMAN</t>
  </si>
  <si>
    <t>H3N2P1</t>
  </si>
  <si>
    <t>sairashaheen39@gmail.com</t>
  </si>
  <si>
    <t>Hamidou, Elmira</t>
  </si>
  <si>
    <t>6341426@crosemont.qc.ca</t>
  </si>
  <si>
    <t>Latour, Alix</t>
  </si>
  <si>
    <t>SAINT-ANDRÉ</t>
  </si>
  <si>
    <t>H2L3W1</t>
  </si>
  <si>
    <t>latour.alix@gmail.com</t>
  </si>
  <si>
    <t>Desrosiers, Arnaud</t>
  </si>
  <si>
    <t>arnaud.desrosiers0@hotmail.com</t>
  </si>
  <si>
    <t>BOULEVARD CRÉMAZIE OUEST</t>
  </si>
  <si>
    <t>Richelieu, Audrey</t>
  </si>
  <si>
    <t>RUE BOLDUC</t>
  </si>
  <si>
    <t>H1L4H7</t>
  </si>
  <si>
    <t>audreyrichelieu@gmail.com</t>
  </si>
  <si>
    <t>Hernandez, Jonathan Estuardo</t>
  </si>
  <si>
    <t>H1Z3A4</t>
  </si>
  <si>
    <t>juniorestuardo2002@hotmail.ca</t>
  </si>
  <si>
    <t>Bourai, Amine</t>
  </si>
  <si>
    <t>RUE ARTHUR FOUCHER</t>
  </si>
  <si>
    <t>J5Z4E9</t>
  </si>
  <si>
    <t>amine_bourai@icloud.com</t>
  </si>
  <si>
    <t>Schanck, Clara</t>
  </si>
  <si>
    <t>claraschanck@gmail.com</t>
  </si>
  <si>
    <t>Blais, Lilyane</t>
  </si>
  <si>
    <t>33E AVENUE</t>
  </si>
  <si>
    <t>J7P2Y2</t>
  </si>
  <si>
    <t>lilyaneblais555333@gmail.com</t>
  </si>
  <si>
    <t>Deslauriers, Danyk</t>
  </si>
  <si>
    <t>H1Z3E9</t>
  </si>
  <si>
    <t>danyk.d@hotmail.com</t>
  </si>
  <si>
    <t>Harfouche, Camil</t>
  </si>
  <si>
    <t>AVENUE CURÉ-CLOUTIER</t>
  </si>
  <si>
    <t>H7E4E2</t>
  </si>
  <si>
    <t>camilharfouche213@gmail.com</t>
  </si>
  <si>
    <t>Ghanem, Iftene</t>
  </si>
  <si>
    <t>H1P2P5</t>
  </si>
  <si>
    <t>hanazahra2174@gmail.com</t>
  </si>
  <si>
    <t>Bichraoui, Rayan</t>
  </si>
  <si>
    <t>H2T1T7</t>
  </si>
  <si>
    <t>bichraouir@gmail.com</t>
  </si>
  <si>
    <t>Manani, Nour-Elhouda</t>
  </si>
  <si>
    <t>H1X2C6</t>
  </si>
  <si>
    <t>mimimenani5@gmail.com</t>
  </si>
  <si>
    <t>Blondel, Madeleine</t>
  </si>
  <si>
    <t>MONTÉE FORTIER</t>
  </si>
  <si>
    <t>J8E2E8</t>
  </si>
  <si>
    <t>madeleine@blondel.ca</t>
  </si>
  <si>
    <t>N'Siala Miaka Ndosimao, Miradi</t>
  </si>
  <si>
    <t>miradinsiala@icloud.com</t>
  </si>
  <si>
    <t>Aklil, Ilyes</t>
  </si>
  <si>
    <t>H1P1E8</t>
  </si>
  <si>
    <t>ilyesaklil1006@gmail.com</t>
  </si>
  <si>
    <t>Makki, Zakaria</t>
  </si>
  <si>
    <t>H1V3J2</t>
  </si>
  <si>
    <t>makkizakaria70@outlook.com</t>
  </si>
  <si>
    <t>Destin, Lord-Wender</t>
  </si>
  <si>
    <t>wenderdestin18@gmail.com</t>
  </si>
  <si>
    <t>El Melhaoui, Zineb</t>
  </si>
  <si>
    <t>zineb.elmel@hotmail.com</t>
  </si>
  <si>
    <t>Dieme, Aminata Elise</t>
  </si>
  <si>
    <t>AVENUE DE MAYFAIR</t>
  </si>
  <si>
    <t>H4V2E6</t>
  </si>
  <si>
    <t>aminataelise@hotmail.com</t>
  </si>
  <si>
    <t>Séguin, Léa</t>
  </si>
  <si>
    <t>H1T1E8</t>
  </si>
  <si>
    <t>leajeannee@gmail.com</t>
  </si>
  <si>
    <t>Ouali, Amine</t>
  </si>
  <si>
    <t>RUE LÉOPOLD-POULIOT</t>
  </si>
  <si>
    <t>H1G1G7</t>
  </si>
  <si>
    <t>oualiamine176@gmail.com</t>
  </si>
  <si>
    <t>Zeroual, Abdoulah</t>
  </si>
  <si>
    <t>RUE DE VANNES</t>
  </si>
  <si>
    <t>H1S1Y6</t>
  </si>
  <si>
    <t>zeroualabdoulah6@gmail.com</t>
  </si>
  <si>
    <t>Théard-Sénat, Sherysse</t>
  </si>
  <si>
    <t>AVENUE DE LOURESSE</t>
  </si>
  <si>
    <t>sherysse.t.senat@icloud.com</t>
  </si>
  <si>
    <t>Spaulding, Stella</t>
  </si>
  <si>
    <t>RUE JOSEPH-GUAY</t>
  </si>
  <si>
    <t>J6W4S9</t>
  </si>
  <si>
    <t>spauldingstella477@gmail.com</t>
  </si>
  <si>
    <t>Plouffe, Gabriel</t>
  </si>
  <si>
    <t>AVENUE GABRIELLE ROY</t>
  </si>
  <si>
    <t>plog7308@gmail.com</t>
  </si>
  <si>
    <t>Charron, Etienne</t>
  </si>
  <si>
    <t>etiennecharron4@gmail.com</t>
  </si>
  <si>
    <t>Ibrahim, Ali</t>
  </si>
  <si>
    <t>RUE CASTILLE</t>
  </si>
  <si>
    <t>H1H1X8</t>
  </si>
  <si>
    <t>abouzein2012@yahoo.ca</t>
  </si>
  <si>
    <t>Zouhairi, Othman</t>
  </si>
  <si>
    <t>othmaninfo01@gmail.com</t>
  </si>
  <si>
    <t>Wang, Ziyi</t>
  </si>
  <si>
    <t>H3W1J5</t>
  </si>
  <si>
    <t>ziyiwang0318@gmail.com</t>
  </si>
  <si>
    <t>Trabelsi, Ayoub</t>
  </si>
  <si>
    <t>trabelsiayoub622@gmail.com</t>
  </si>
  <si>
    <t>Le, Duc Luc</t>
  </si>
  <si>
    <t>H2N1L9</t>
  </si>
  <si>
    <t>luc51nsl@gmail.com</t>
  </si>
  <si>
    <t>Fontaine, Elias</t>
  </si>
  <si>
    <t>H1K3J9</t>
  </si>
  <si>
    <t>xaitxz@gmail.com</t>
  </si>
  <si>
    <t>Kheddouci, Abdelkader</t>
  </si>
  <si>
    <t>J5Z4E4</t>
  </si>
  <si>
    <t>abdelkaderkheddouci@gmail.com</t>
  </si>
  <si>
    <t>Meghari, Zineb</t>
  </si>
  <si>
    <t>BOULEVARD PROVENCHER</t>
  </si>
  <si>
    <t>H1S2V8</t>
  </si>
  <si>
    <t>zinebmeghari@icloud.com</t>
  </si>
  <si>
    <t>Romain, Réginald</t>
  </si>
  <si>
    <t>RUE DE LOTBINIÈRE</t>
  </si>
  <si>
    <t>H1S2W9</t>
  </si>
  <si>
    <t>reginaldromain271@gmail.com</t>
  </si>
  <si>
    <t>Alaoui Mdarhri, El Yazid</t>
  </si>
  <si>
    <t>H2G2Z2</t>
  </si>
  <si>
    <t>Alaoui.Yazid.m@gmail.com</t>
  </si>
  <si>
    <t>Westfield, Deidre</t>
  </si>
  <si>
    <t>deidre27dw@gmail.com</t>
  </si>
  <si>
    <t>Blikov, Helen</t>
  </si>
  <si>
    <t>H7R6J9</t>
  </si>
  <si>
    <t>helblikov@gmail.com</t>
  </si>
  <si>
    <t>RUE AIMÉ-SÉGUIN</t>
  </si>
  <si>
    <t>H7M1B2</t>
  </si>
  <si>
    <t>couture.benj@gmail.com</t>
  </si>
  <si>
    <t>Jibaja Mendives, Adrian</t>
  </si>
  <si>
    <t>BOULEVARD SAINT-JOSEPH EST</t>
  </si>
  <si>
    <t>H1X1W5</t>
  </si>
  <si>
    <t>adrianjibaja@hotmail.com</t>
  </si>
  <si>
    <t>Law, Jasmine</t>
  </si>
  <si>
    <t>ÉDOUARD-LABERGE</t>
  </si>
  <si>
    <t>J6R0G8</t>
  </si>
  <si>
    <t>jasminelaw2004@icloud.com</t>
  </si>
  <si>
    <t>Pichon, Miranda</t>
  </si>
  <si>
    <t>mimipichon2005@gmail.com</t>
  </si>
  <si>
    <t>Bonhommette, Joysmyth</t>
  </si>
  <si>
    <t>AVENUE DE L'ÉPÉE</t>
  </si>
  <si>
    <t>H3N2E4</t>
  </si>
  <si>
    <t>lekingz67@gmail.com</t>
  </si>
  <si>
    <t>Germain, Alyssane</t>
  </si>
  <si>
    <t>RUE DES LYS</t>
  </si>
  <si>
    <t>J7P0A8</t>
  </si>
  <si>
    <t>alyssanegermain@gmail.com</t>
  </si>
  <si>
    <t>Xu, Junkai</t>
  </si>
  <si>
    <t>RUE ROUILLIER</t>
  </si>
  <si>
    <t>J5R1N9</t>
  </si>
  <si>
    <t>junkaix63@gmail.com</t>
  </si>
  <si>
    <t>Ahmed, Sabia</t>
  </si>
  <si>
    <t>H2N1X5</t>
  </si>
  <si>
    <t>sabiaahmed1234@gmail.com</t>
  </si>
  <si>
    <t>Joseph, Judenathan</t>
  </si>
  <si>
    <t>RUE DE MONTREUIL</t>
  </si>
  <si>
    <t>J6Y0E7</t>
  </si>
  <si>
    <t>judenathanj@gmail.com</t>
  </si>
  <si>
    <t>Smail, Sarah</t>
  </si>
  <si>
    <t>H1E6E1</t>
  </si>
  <si>
    <t>smailsarah053@gmail.com</t>
  </si>
  <si>
    <t>Dione, Maurice Massa Emile</t>
  </si>
  <si>
    <t>mauricedione09@gmail.com</t>
  </si>
  <si>
    <t>Bouchiba, Amjad</t>
  </si>
  <si>
    <t>AVENUE EMILE-LEGRAND</t>
  </si>
  <si>
    <t>H1N3H7</t>
  </si>
  <si>
    <t>amjad_bouchiba@yahoo.com</t>
  </si>
  <si>
    <t>Kolan, Zakaria</t>
  </si>
  <si>
    <t>Zakariakolan@gmail.com</t>
  </si>
  <si>
    <t>Tahri, Lyna</t>
  </si>
  <si>
    <t>H1J1G9</t>
  </si>
  <si>
    <t>lynatahri@yahoo.com</t>
  </si>
  <si>
    <t>Bokola, Eric Yvan</t>
  </si>
  <si>
    <t>AVE SIR WALTER SCOTT</t>
  </si>
  <si>
    <t>COTE ST LUC</t>
  </si>
  <si>
    <t>H4W1S4</t>
  </si>
  <si>
    <t>navyeric.bokola@gmail.com</t>
  </si>
  <si>
    <t>Ladouceur, Jean-Etienne</t>
  </si>
  <si>
    <t>H2R2C7</t>
  </si>
  <si>
    <t>yellowbluemedia@gmail.com</t>
  </si>
  <si>
    <t>Biron, Maude</t>
  </si>
  <si>
    <t>RUE DE COUBERTIN</t>
  </si>
  <si>
    <t>G8Y4P4</t>
  </si>
  <si>
    <t>bironmaude@icloud.com</t>
  </si>
  <si>
    <t>Yang, Lucas</t>
  </si>
  <si>
    <t>RUE RIOUX</t>
  </si>
  <si>
    <t>H3C0X3</t>
  </si>
  <si>
    <t>lucas.yufan.yang@gmail.com</t>
  </si>
  <si>
    <t>Laflamme, Agathe</t>
  </si>
  <si>
    <t>MONTÉE MEUNIER</t>
  </si>
  <si>
    <t>aglaflamme@gmail.com</t>
  </si>
  <si>
    <t>Rusu, Cristian Pavel</t>
  </si>
  <si>
    <t>RUE DU CHAMP-D'EAU</t>
  </si>
  <si>
    <t>H1J1X4</t>
  </si>
  <si>
    <t>rusuc123@gmail.com</t>
  </si>
  <si>
    <t>Ouellette, Ève</t>
  </si>
  <si>
    <t>RUE DU TOURNESOL</t>
  </si>
  <si>
    <t>SHEFFORD</t>
  </si>
  <si>
    <t>J2M1K9</t>
  </si>
  <si>
    <t>eveouellette6@hotmail.com</t>
  </si>
  <si>
    <t>Souvannavong, Sirivouth Davarick</t>
  </si>
  <si>
    <t>RUE DU LAOS</t>
  </si>
  <si>
    <t>H2T3C6</t>
  </si>
  <si>
    <t>Sirivouth@gmail.com</t>
  </si>
  <si>
    <t>Santos Reyes, Fatima</t>
  </si>
  <si>
    <t>RUE LOUIS-FRANCOEUR</t>
  </si>
  <si>
    <t>H1G3B3</t>
  </si>
  <si>
    <t>fsantosreyes24@gmail.com</t>
  </si>
  <si>
    <t>Charles, Chidler</t>
  </si>
  <si>
    <t>RUE CHATHAM</t>
  </si>
  <si>
    <t>H3J1Z6</t>
  </si>
  <si>
    <t>chidlercharles9@gmail.com</t>
  </si>
  <si>
    <t>Rharrhar, Adam</t>
  </si>
  <si>
    <t>EDGER</t>
  </si>
  <si>
    <t>H1G5A2</t>
  </si>
  <si>
    <t>adamrharrhar275@gmail.com</t>
  </si>
  <si>
    <t>Bourghida, Yosr</t>
  </si>
  <si>
    <t>H1P1N2</t>
  </si>
  <si>
    <t>bourghida.yosr@gmail.com</t>
  </si>
  <si>
    <t>Bagalwa, Victoria</t>
  </si>
  <si>
    <t>RUE JUBINVILLE</t>
  </si>
  <si>
    <t>H7G3E4</t>
  </si>
  <si>
    <t>victoriabn2307@gmail.com</t>
  </si>
  <si>
    <t>Dumoulin, Luka</t>
  </si>
  <si>
    <t>H1Y2E1</t>
  </si>
  <si>
    <t>luka.dumoulin@icloud.com</t>
  </si>
  <si>
    <t>Araujo Hernandez, Aurelis</t>
  </si>
  <si>
    <t>H3S1T5</t>
  </si>
  <si>
    <t>Princesaxoo@gmail.com</t>
  </si>
  <si>
    <t>Velez Diaz, Joshua</t>
  </si>
  <si>
    <t>H4M1X7</t>
  </si>
  <si>
    <t>joshuavelezd@hotmail.com</t>
  </si>
  <si>
    <t>Gonzalez-Bélisle, Mirka</t>
  </si>
  <si>
    <t>7E AV</t>
  </si>
  <si>
    <t>mirkagb@hotmail.ca</t>
  </si>
  <si>
    <t>Heinmüller, Kyswendsida Serge Mikaël</t>
  </si>
  <si>
    <t>H1H4M6</t>
  </si>
  <si>
    <t>serge@heinmueller.org</t>
  </si>
  <si>
    <t>Anderes-Ramirez, Grecia</t>
  </si>
  <si>
    <t>RUE LUCIEN MANNING</t>
  </si>
  <si>
    <t>L'ÎLE-PERROT</t>
  </si>
  <si>
    <t>J7V8W4</t>
  </si>
  <si>
    <t>grecia.anderes@icloud.com</t>
  </si>
  <si>
    <t>Kitri, Malak</t>
  </si>
  <si>
    <t>Maroc</t>
  </si>
  <si>
    <t>kitrimalak2@gmail.com</t>
  </si>
  <si>
    <t>Pedro, Rute Elizabete</t>
  </si>
  <si>
    <t>H1Z3K7</t>
  </si>
  <si>
    <t>ruteelizabetepedro@icloud.com</t>
  </si>
  <si>
    <t>Ikkene, Alicia</t>
  </si>
  <si>
    <t>H1R1L6</t>
  </si>
  <si>
    <t>aliciadzz1234@hotmail.com</t>
  </si>
  <si>
    <t>Boudouya, Fatima Zohra</t>
  </si>
  <si>
    <t>batoul_fatima@icloud.com</t>
  </si>
  <si>
    <t>Hussain, Mustafa</t>
  </si>
  <si>
    <t>OUIMET</t>
  </si>
  <si>
    <t>H4L3R2</t>
  </si>
  <si>
    <t>hussainmustafa097@gmail.com</t>
  </si>
  <si>
    <t>Boulay, Gabrielle</t>
  </si>
  <si>
    <t>RUE DU BOISÉ</t>
  </si>
  <si>
    <t>J5M2H3</t>
  </si>
  <si>
    <t>gabrielle.boulay@hotmail.ca</t>
  </si>
  <si>
    <t>Tétreault, Gabriel</t>
  </si>
  <si>
    <t>J6A7Z9</t>
  </si>
  <si>
    <t>gabtet03@gmail.com</t>
  </si>
  <si>
    <t>Divaret, Mila</t>
  </si>
  <si>
    <t>miladivaret05@gmail.com</t>
  </si>
  <si>
    <t>Lecomte, Sélyane</t>
  </si>
  <si>
    <t>H1T3A8</t>
  </si>
  <si>
    <t>selyane.l10@gmail.com</t>
  </si>
  <si>
    <t>Sayeh, Mohamed-Amine</t>
  </si>
  <si>
    <t>RUE PIERRE-LAPORTE</t>
  </si>
  <si>
    <t>J6V1G2</t>
  </si>
  <si>
    <t>mohamed.sayeh0724@gmail.com</t>
  </si>
  <si>
    <t>Martinez Ramirez, Rogelio</t>
  </si>
  <si>
    <t>18E AV</t>
  </si>
  <si>
    <t>H1X2N7</t>
  </si>
  <si>
    <t>Abraham29001500@gmail.com</t>
  </si>
  <si>
    <t>Sandu, Erin-Stéphanie</t>
  </si>
  <si>
    <t>H4B2T5</t>
  </si>
  <si>
    <t>stephsandu45@gmail.com</t>
  </si>
  <si>
    <t>Zein, Nadir</t>
  </si>
  <si>
    <t>DE LA MAYENNE</t>
  </si>
  <si>
    <t>dirnaz@icloud.com</t>
  </si>
  <si>
    <t>Henriquez, Ashley Suseth</t>
  </si>
  <si>
    <t>RUE TOURANGEAU EST</t>
  </si>
  <si>
    <t>H7G1K4</t>
  </si>
  <si>
    <t>ashleyhgomez055@gmail.com</t>
  </si>
  <si>
    <t>Boulisfane, Ahmed</t>
  </si>
  <si>
    <t>AVENUE CUMBERLAND</t>
  </si>
  <si>
    <t>H4V2N5</t>
  </si>
  <si>
    <t>boulisfane7@gmail.com</t>
  </si>
  <si>
    <t>Gumbelo, Celestine Mozengi</t>
  </si>
  <si>
    <t>H1R3L5</t>
  </si>
  <si>
    <t>celestegumbelo5@gmail.com</t>
  </si>
  <si>
    <t>Hammad, Elias</t>
  </si>
  <si>
    <t>elias.hammad@yahoo.com</t>
  </si>
  <si>
    <t>Dafi, Célian</t>
  </si>
  <si>
    <t>AVENUE BAZIN</t>
  </si>
  <si>
    <t>H7N4R4</t>
  </si>
  <si>
    <t>celian.dafi@gmail.com</t>
  </si>
  <si>
    <t>Pichette-Drapeau, Félix</t>
  </si>
  <si>
    <t>H1X2J7</t>
  </si>
  <si>
    <t>felix.pichette.drapeau@gmail.com</t>
  </si>
  <si>
    <t>Matthews, Naomi</t>
  </si>
  <si>
    <t>H7W0A3</t>
  </si>
  <si>
    <t>naomi.matthews3@icloud.com</t>
  </si>
  <si>
    <t>Zouhair, Oumayma</t>
  </si>
  <si>
    <t>oumayzou@gmail.com</t>
  </si>
  <si>
    <t>Santos Nuesi, Ashley</t>
  </si>
  <si>
    <t>PLACE PROVENCHER</t>
  </si>
  <si>
    <t>MONTREAL SAINT-LEONARD</t>
  </si>
  <si>
    <t>H1R2Z1</t>
  </si>
  <si>
    <t>ashleynuesi6@gmail.com</t>
  </si>
  <si>
    <t>Rivest, Samuel</t>
  </si>
  <si>
    <t>J6A5M1</t>
  </si>
  <si>
    <t>samuel.rivest345@gmail.com</t>
  </si>
  <si>
    <t>Ridore, Sam</t>
  </si>
  <si>
    <t>H7A3V7</t>
  </si>
  <si>
    <t>andydussap@gmail.com</t>
  </si>
  <si>
    <t>Jaadani, Adams</t>
  </si>
  <si>
    <t>RUE DE MEULLES</t>
  </si>
  <si>
    <t>H4J2E6</t>
  </si>
  <si>
    <t>jaadania1@csdmedu.ca</t>
  </si>
  <si>
    <t>Riche, Lydia</t>
  </si>
  <si>
    <t>29E AV</t>
  </si>
  <si>
    <t>H1T3H6</t>
  </si>
  <si>
    <t>lylyriche06@gmail.com</t>
  </si>
  <si>
    <t>Merabet, Khaoula Aya</t>
  </si>
  <si>
    <t>H2A3C6</t>
  </si>
  <si>
    <t>merabet11@outlook.com</t>
  </si>
  <si>
    <t>Nagamany, Tharmieka</t>
  </si>
  <si>
    <t>H2A2V7</t>
  </si>
  <si>
    <t>tharmie14@gmail.com</t>
  </si>
  <si>
    <t>Driouich, Marwa</t>
  </si>
  <si>
    <t>RUE ARTHUR-PÉLOQUIN</t>
  </si>
  <si>
    <t>H1R2S9</t>
  </si>
  <si>
    <t>mar.driouich@gmail.com</t>
  </si>
  <si>
    <t>Medjou, Anfel</t>
  </si>
  <si>
    <t>MARCEL-LAURIN</t>
  </si>
  <si>
    <t>H4R0S7</t>
  </si>
  <si>
    <t>medjouanfel16@gmail.com</t>
  </si>
  <si>
    <t>Taha, Idriss</t>
  </si>
  <si>
    <t>H4J1P3</t>
  </si>
  <si>
    <t>idrisstaha3@gmail.com</t>
  </si>
  <si>
    <t>Nguyen, Trung Kien Justin</t>
  </si>
  <si>
    <t>PLACE AMPÈRE</t>
  </si>
  <si>
    <t>H7N5Y7</t>
  </si>
  <si>
    <t>ng.justin06@gmail.com</t>
  </si>
  <si>
    <t>Esteban, Alycia</t>
  </si>
  <si>
    <t>H1X2B5</t>
  </si>
  <si>
    <t>nallyyesteban@gmail.com</t>
  </si>
  <si>
    <t>Muboyayi, Zoé Kankolongo</t>
  </si>
  <si>
    <t>annzoem@gmail.com</t>
  </si>
  <si>
    <t>Cadet, Wencher</t>
  </si>
  <si>
    <t>GERVAIS</t>
  </si>
  <si>
    <t>H1G4G7</t>
  </si>
  <si>
    <t>cadetwencher@gmail.com</t>
  </si>
  <si>
    <t>Souafi, Yasmine</t>
  </si>
  <si>
    <t>H1M2R7</t>
  </si>
  <si>
    <t>yasminesouafi75@gmail.com</t>
  </si>
  <si>
    <t>Le, Jennyfer</t>
  </si>
  <si>
    <t>PLACE NIGEN</t>
  </si>
  <si>
    <t>H4R2G6</t>
  </si>
  <si>
    <t>jennyferle@icloud.com</t>
  </si>
  <si>
    <t>Pierre, Mones Cedric Emmanuel</t>
  </si>
  <si>
    <t>mcedricpierre@gmail.com</t>
  </si>
  <si>
    <t>Charaf, Hassan</t>
  </si>
  <si>
    <t>DU SOUVENIR BLVD</t>
  </si>
  <si>
    <t>H7V1X3</t>
  </si>
  <si>
    <t>hassan-charaf@hotmail.com</t>
  </si>
  <si>
    <t>Belloir, Timothy</t>
  </si>
  <si>
    <t>H2V3N4</t>
  </si>
  <si>
    <t>Timbelloir@gmail.com</t>
  </si>
  <si>
    <t>Verrillo, Tatiana Vanessa</t>
  </si>
  <si>
    <t>tatianavanessaverrillo@gmail.com</t>
  </si>
  <si>
    <t>Staouti, Abdel Rahmane</t>
  </si>
  <si>
    <t>RUE DAGENAIS</t>
  </si>
  <si>
    <t>abdelbaws21@gmail.com</t>
  </si>
  <si>
    <t>Takka, Lylia</t>
  </si>
  <si>
    <t>takkal@yahoo.com</t>
  </si>
  <si>
    <t>Opris, Alexandra</t>
  </si>
  <si>
    <t>LAVAL BLVD</t>
  </si>
  <si>
    <t>H7S0A4</t>
  </si>
  <si>
    <t>alexandra_opris06@yahoo.com</t>
  </si>
  <si>
    <t>Ferodin, Phayna Nathanaelle</t>
  </si>
  <si>
    <t>phaynaferodin@gmail.com</t>
  </si>
  <si>
    <t>Paquin, Emanuelle</t>
  </si>
  <si>
    <t>BOUL. DE MAISONNEUVE OUEST</t>
  </si>
  <si>
    <t>H3H1K8</t>
  </si>
  <si>
    <t>emanuelle.paquin.1@umontreal.ca</t>
  </si>
  <si>
    <t>Adoum, Kocheï Moctar</t>
  </si>
  <si>
    <t>H3L2C9</t>
  </si>
  <si>
    <t>thekoko1@icloud.com</t>
  </si>
  <si>
    <t>Haddouche, Yacer</t>
  </si>
  <si>
    <t>RUE FLORENCE</t>
  </si>
  <si>
    <t>J7M1G4</t>
  </si>
  <si>
    <t>doprien9@gmail.com</t>
  </si>
  <si>
    <t>Bensghir, Kacem-Amine</t>
  </si>
  <si>
    <t>AVENUE KENT</t>
  </si>
  <si>
    <t>H3S1M8</t>
  </si>
  <si>
    <t>rfaouzia@outlook.com</t>
  </si>
  <si>
    <t>Bali, Anas</t>
  </si>
  <si>
    <t>RUE BENOIT</t>
  </si>
  <si>
    <t>H7T1S1</t>
  </si>
  <si>
    <t>anasbali2006@gmail.com</t>
  </si>
  <si>
    <t>Joseph, Ackshaija</t>
  </si>
  <si>
    <t>PLACE DENIS PAPIN</t>
  </si>
  <si>
    <t>H1R3R2</t>
  </si>
  <si>
    <t>ackshaijajoseph@outlook.com</t>
  </si>
  <si>
    <t>Messikh, Aridj</t>
  </si>
  <si>
    <t>H1S1S7</t>
  </si>
  <si>
    <t>aridjzoheir21@gmail.com</t>
  </si>
  <si>
    <t>Takka, Isaac</t>
  </si>
  <si>
    <t>takka_i@yahoo.ca</t>
  </si>
  <si>
    <t>Bouchakou, Samar</t>
  </si>
  <si>
    <t>AV. ÉMILE-JOURNAULT</t>
  </si>
  <si>
    <t>H1Z1T9</t>
  </si>
  <si>
    <t>samarbouchakou@gmail.com</t>
  </si>
  <si>
    <t>Hassen, Dawood</t>
  </si>
  <si>
    <t>RUE PAUL-COMTOIS</t>
  </si>
  <si>
    <t>H4N3H9</t>
  </si>
  <si>
    <t>Dawoodhassen21@outlook.com</t>
  </si>
  <si>
    <t>Bouskaya, Sajid Lilleih</t>
  </si>
  <si>
    <t>H4K1R3</t>
  </si>
  <si>
    <t>sabo2691@gmail.com</t>
  </si>
  <si>
    <t>Marcel, Lydie</t>
  </si>
  <si>
    <t>RUE MONTBRUN</t>
  </si>
  <si>
    <t>H1S2K2</t>
  </si>
  <si>
    <t>lydiemarcel14@gmail.com</t>
  </si>
  <si>
    <t>Di Battista, Béatrice</t>
  </si>
  <si>
    <t>beatricedibattista13@gmail.com</t>
  </si>
  <si>
    <t>Sarazin, Chloé-Anne</t>
  </si>
  <si>
    <t>H2G2L3</t>
  </si>
  <si>
    <t>chloea.srz@gmail.com</t>
  </si>
  <si>
    <t>Dillo, Jaymar Peronce</t>
  </si>
  <si>
    <t>VICTORIA</t>
  </si>
  <si>
    <t>H3W2T5</t>
  </si>
  <si>
    <t>jaymar0110@yahoo.com</t>
  </si>
  <si>
    <t>Amarhoune, Zayed</t>
  </si>
  <si>
    <t>H1S1C1</t>
  </si>
  <si>
    <t>zayed06292005@gmail.com</t>
  </si>
  <si>
    <t>Ahmed, Ieman</t>
  </si>
  <si>
    <t>H7V3N5</t>
  </si>
  <si>
    <t>ieman0070@icloud.com</t>
  </si>
  <si>
    <t>Lavallée, Julia</t>
  </si>
  <si>
    <t>AVENUE ROYAL</t>
  </si>
  <si>
    <t>H4A2M9</t>
  </si>
  <si>
    <t>julialavallee@outlook.com</t>
  </si>
  <si>
    <t>Assikar, Adam</t>
  </si>
  <si>
    <t>RUE DE SAINT-VALLIER</t>
  </si>
  <si>
    <t>H2S3P2</t>
  </si>
  <si>
    <t>assik3007@gmail.com</t>
  </si>
  <si>
    <t>Fakih, Houssein</t>
  </si>
  <si>
    <t>PLACE DECELLES</t>
  </si>
  <si>
    <t>H3S1X5</t>
  </si>
  <si>
    <t>houhoufkh@gmail.com</t>
  </si>
  <si>
    <t>Zola Bangani, Archippe</t>
  </si>
  <si>
    <t>H1G1T1</t>
  </si>
  <si>
    <t>blackwizzard3000@gmail.com</t>
  </si>
  <si>
    <t>Corréa, Pierre Idrissa</t>
  </si>
  <si>
    <t>H3T1J6</t>
  </si>
  <si>
    <t>pierreidrissacorrea@gmail.com</t>
  </si>
  <si>
    <t>Valmond, Louidjina Tanisha</t>
  </si>
  <si>
    <t>26E AV</t>
  </si>
  <si>
    <t>H1E1Z3</t>
  </si>
  <si>
    <t>louidjinavalmond@gmail.com</t>
  </si>
  <si>
    <t>Ben Ftima, Zaineb</t>
  </si>
  <si>
    <t>H7P5T6</t>
  </si>
  <si>
    <t>012zainebbenftima@gmail.com</t>
  </si>
  <si>
    <t>Mahtoum, Ahmed Abdelouahab</t>
  </si>
  <si>
    <t>H1S2L6</t>
  </si>
  <si>
    <t>ahmed.mahtoum@icloud.com</t>
  </si>
  <si>
    <t>Desrochers, Maxime</t>
  </si>
  <si>
    <t>H1K2W2</t>
  </si>
  <si>
    <t>maxoudes2006@gmail.com</t>
  </si>
  <si>
    <t>Fares, Tala</t>
  </si>
  <si>
    <t>H4N1P6</t>
  </si>
  <si>
    <t>talafares2007@gmail.com</t>
  </si>
  <si>
    <t>Zareb, Harroun</t>
  </si>
  <si>
    <t>Zazaguauche@gmail.com</t>
  </si>
  <si>
    <t>Hallak, Albert</t>
  </si>
  <si>
    <t>CASGRAIN</t>
  </si>
  <si>
    <t>jasonstatame@outlook.com</t>
  </si>
  <si>
    <t>Beauséjour, Chad</t>
  </si>
  <si>
    <t>H1T2E2</t>
  </si>
  <si>
    <t>chadbeausejour4@gmail.com</t>
  </si>
  <si>
    <t>Dubuisson Joseph, Emilie</t>
  </si>
  <si>
    <t>RUE HUBERT</t>
  </si>
  <si>
    <t>J4J2M4</t>
  </si>
  <si>
    <t>emiliejoseph36@gmail.com</t>
  </si>
  <si>
    <t>Cissoko, Fodé</t>
  </si>
  <si>
    <t>RUE TAIT</t>
  </si>
  <si>
    <t>H4M2K6</t>
  </si>
  <si>
    <t>fodecissoko2016@gmail.com</t>
  </si>
  <si>
    <t>Béland, Bianca</t>
  </si>
  <si>
    <t>H1X2N6</t>
  </si>
  <si>
    <t>bianca.beland1@outlook.com</t>
  </si>
  <si>
    <t>Chimely Perez, Karyme</t>
  </si>
  <si>
    <t>H7N5X6</t>
  </si>
  <si>
    <t>chimelyk@gmail.com</t>
  </si>
  <si>
    <t>Tessier, Amélya</t>
  </si>
  <si>
    <t>J6W5X7</t>
  </si>
  <si>
    <t>amelyatessier2006@gmail.com</t>
  </si>
  <si>
    <t>Hu, Yueqian</t>
  </si>
  <si>
    <t>BOULEVARD HENRI BOURASSA OUEST</t>
  </si>
  <si>
    <t>H4L1A8</t>
  </si>
  <si>
    <t>243832510@qq.com</t>
  </si>
  <si>
    <t>Diallo, Aguibou</t>
  </si>
  <si>
    <t>Aguibouhockey@hotmail.com</t>
  </si>
  <si>
    <t>El Abda, Younes</t>
  </si>
  <si>
    <t>elabdayounes@gmail.com</t>
  </si>
  <si>
    <t>Amane, Wajih</t>
  </si>
  <si>
    <t>HENRI-BOURASSA BLVD E</t>
  </si>
  <si>
    <t>H1G2S2</t>
  </si>
  <si>
    <t>hananhw2@gmail.com</t>
  </si>
  <si>
    <t>Ibrahim, Mahdi</t>
  </si>
  <si>
    <t>AVENUE WILDERTON</t>
  </si>
  <si>
    <t>H3S2L9</t>
  </si>
  <si>
    <t>ibrahimahdi20080129@gmail.com</t>
  </si>
  <si>
    <t>Paul, Clairdine</t>
  </si>
  <si>
    <t>LOUIS-LEFEBVRE</t>
  </si>
  <si>
    <t>H1A5C6</t>
  </si>
  <si>
    <t>clairdinepaul22@gmail.com</t>
  </si>
  <si>
    <t>Daudé, Geneviève</t>
  </si>
  <si>
    <t>genevieve.h.daude@gmail.com</t>
  </si>
  <si>
    <t>Senoune, Masilya</t>
  </si>
  <si>
    <t>RUE LA PÉRIÈRE</t>
  </si>
  <si>
    <t>H7A3N5</t>
  </si>
  <si>
    <t>senounemasilya1@gmail.com</t>
  </si>
  <si>
    <t>Beddiaf, Mohammed Rayan</t>
  </si>
  <si>
    <t>beddirayan@gmail.com</t>
  </si>
  <si>
    <t>Zaknoun, Saber Wassim</t>
  </si>
  <si>
    <t>RUE GOYA</t>
  </si>
  <si>
    <t>H1R3J5</t>
  </si>
  <si>
    <t>wassimzaknoun@gmail.com</t>
  </si>
  <si>
    <t>Schwendener Sylvestr, Acxel Andrei</t>
  </si>
  <si>
    <t>PAISLEY</t>
  </si>
  <si>
    <t>andreisylvestr@gmail.com</t>
  </si>
  <si>
    <t>Parada, Angy Tatiana</t>
  </si>
  <si>
    <t>RUE CHABRIER</t>
  </si>
  <si>
    <t>H7S2L1</t>
  </si>
  <si>
    <t>angytatianaparada@gmail.com</t>
  </si>
  <si>
    <t>Plante, Océane</t>
  </si>
  <si>
    <t>CROISSANT ORANGE</t>
  </si>
  <si>
    <t>J4Y3H4</t>
  </si>
  <si>
    <t>oceane.plante1@outlook.com</t>
  </si>
  <si>
    <t>Touangueu, Maveline Sandy</t>
  </si>
  <si>
    <t>H3S1T6</t>
  </si>
  <si>
    <t>sandymaveline@gmail.com</t>
  </si>
  <si>
    <t>Sallemine, Fatiha</t>
  </si>
  <si>
    <t>fatihasallemine15@outlook.com</t>
  </si>
  <si>
    <t>Poggi-Dugas, Esteban</t>
  </si>
  <si>
    <t>RUE WURTELE</t>
  </si>
  <si>
    <t>H2K2R2</t>
  </si>
  <si>
    <t>esteban.poggi.dugas@gmail.com</t>
  </si>
  <si>
    <t>Daquioag, Rich Emmanuel</t>
  </si>
  <si>
    <t>H4L2X2</t>
  </si>
  <si>
    <t>redaquioag124@yahoo.com</t>
  </si>
  <si>
    <t>Nehmé, Natalie</t>
  </si>
  <si>
    <t>RUE MARQUIS</t>
  </si>
  <si>
    <t>H7W1E9</t>
  </si>
  <si>
    <t>natalie.n16@hotmail.com</t>
  </si>
  <si>
    <t>Laporte, Guillaume</t>
  </si>
  <si>
    <t>J3Y6B5</t>
  </si>
  <si>
    <t>guillaume98@live.com</t>
  </si>
  <si>
    <t>Mhedhbi, Aicha</t>
  </si>
  <si>
    <t>mhedhbiaicha0@gmail.com</t>
  </si>
  <si>
    <t>Dow, Megan</t>
  </si>
  <si>
    <t>H2V1P5</t>
  </si>
  <si>
    <t>megandow7@gmail.com</t>
  </si>
  <si>
    <t>Baidya, Jagadananda</t>
  </si>
  <si>
    <t>H3N2H6</t>
  </si>
  <si>
    <t>jagadbaidya@gmail.com</t>
  </si>
  <si>
    <t>Nazaire, Abigail Elizabeth</t>
  </si>
  <si>
    <t>abigailnazaire18@gmail.com</t>
  </si>
  <si>
    <t>Tran, Duc Hoa</t>
  </si>
  <si>
    <t>H1R2Y9</t>
  </si>
  <si>
    <t>duchoatran514@gmail.com</t>
  </si>
  <si>
    <t>Dion, Tristan</t>
  </si>
  <si>
    <t>H2R2B1</t>
  </si>
  <si>
    <t>nragheb@skantz.ca</t>
  </si>
  <si>
    <t>Buteau, Francesca Anaïse</t>
  </si>
  <si>
    <t>H1Z2X9</t>
  </si>
  <si>
    <t>abuteau16@gmail.com</t>
  </si>
  <si>
    <t>Sedne, Émilie Christine</t>
  </si>
  <si>
    <t>RUE DES CERISIERS</t>
  </si>
  <si>
    <t>H7A0A2</t>
  </si>
  <si>
    <t>sednemilie@outlook.fr</t>
  </si>
  <si>
    <t>Yang, Jia Huimin</t>
  </si>
  <si>
    <t>H3W1R1</t>
  </si>
  <si>
    <t>ymmaoy@gmail.com</t>
  </si>
  <si>
    <t>Reyes, Nicole</t>
  </si>
  <si>
    <t>PLACE HÉBERT</t>
  </si>
  <si>
    <t>ST. LÉONARD</t>
  </si>
  <si>
    <t>H1S2Y1</t>
  </si>
  <si>
    <t>frisknico172004@gmail.com</t>
  </si>
  <si>
    <t>Zenga, Alyson</t>
  </si>
  <si>
    <t>H1L6C8</t>
  </si>
  <si>
    <t>xalyx20@yahoo.com</t>
  </si>
  <si>
    <t>Perez Torres, Maribel</t>
  </si>
  <si>
    <t>maribelpzt@yahoo.com.mx</t>
  </si>
  <si>
    <t>Tomassi, Samuel</t>
  </si>
  <si>
    <t>H1H5L9</t>
  </si>
  <si>
    <t>samueltomassii@gmail.com</t>
  </si>
  <si>
    <t>Li, Weiyu</t>
  </si>
  <si>
    <t>RUE SAINT-ZOTIQUE</t>
  </si>
  <si>
    <t>liweiyu0710@gmail.com</t>
  </si>
  <si>
    <t>Côté, Maxym</t>
  </si>
  <si>
    <t>RUE PELLETIER</t>
  </si>
  <si>
    <t>J3N1L6</t>
  </si>
  <si>
    <t>maxymct@gmail.com</t>
  </si>
  <si>
    <t>Bellemare, Félix-Antoine</t>
  </si>
  <si>
    <t>RUE DES PINSONS</t>
  </si>
  <si>
    <t>J4G2K5</t>
  </si>
  <si>
    <t>flexbellemare@hotmail.com</t>
  </si>
  <si>
    <t>Abouljoud, Ranya</t>
  </si>
  <si>
    <t>RUE DUMOUCHEL</t>
  </si>
  <si>
    <t>H7S1J8</t>
  </si>
  <si>
    <t>Crossover124@hotmail.com</t>
  </si>
  <si>
    <t>Sciences humaines</t>
  </si>
  <si>
    <t>Savard, Sébastien</t>
  </si>
  <si>
    <t>H4G2Y4</t>
  </si>
  <si>
    <t>sebastien.sav@outlook.com</t>
  </si>
  <si>
    <t>Théberge, Frédérique</t>
  </si>
  <si>
    <t>H1T2C6</t>
  </si>
  <si>
    <t>azura.tind@gmail.com</t>
  </si>
  <si>
    <t>Robert, Sandrine</t>
  </si>
  <si>
    <t>BOUL. MAGENTA EST</t>
  </si>
  <si>
    <t>J2N1C3</t>
  </si>
  <si>
    <t>sandriner2004@gmail.com</t>
  </si>
  <si>
    <t>Arts, lettres et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</si>
</sst>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9"/>
  <sheetViews>
    <sheetView tabSelected="1" workbookViewId="0">
      <selection activeCell="A2" sqref="A2"/>
    </sheetView>
  </sheetViews>
  <sheetFormatPr baseColWidth="10" defaultRowHeight="14.5" x14ac:dyDescent="0.35"/>
  <cols>
    <col min="1" max="1" width="15" bestFit="1" customWidth="1"/>
    <col min="2" max="2" width="47.453125" bestFit="1" customWidth="1"/>
    <col min="3" max="3" width="9.81640625" bestFit="1" customWidth="1"/>
    <col min="4" max="4" width="12.26953125" bestFit="1" customWidth="1"/>
    <col min="5" max="5" width="35.453125" bestFit="1" customWidth="1"/>
    <col min="6" max="6" width="36.26953125" bestFit="1" customWidth="1"/>
    <col min="7" max="7" width="10.453125" bestFit="1" customWidth="1"/>
    <col min="8" max="8" width="12.6328125" bestFit="1" customWidth="1"/>
    <col min="9" max="9" width="9.6328125" bestFit="1" customWidth="1"/>
    <col min="10" max="10" width="17.54296875" bestFit="1" customWidth="1"/>
    <col min="11" max="11" width="37.90625" bestFit="1" customWidth="1"/>
    <col min="12" max="12" width="50.453125" bestFit="1" customWidth="1"/>
    <col min="13" max="13" width="54.36328125" bestFit="1" customWidth="1"/>
  </cols>
  <sheetData>
    <row r="1" spans="1:13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t="str">
        <f>"886-7152"</f>
        <v>886-7152</v>
      </c>
      <c r="B2" t="s">
        <v>13</v>
      </c>
      <c r="C2" t="str">
        <f>"245"</f>
        <v>245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tr">
        <f>"8736626375"</f>
        <v>8736626375</v>
      </c>
      <c r="K2" t="s">
        <v>19</v>
      </c>
      <c r="L2" t="s">
        <v>20</v>
      </c>
      <c r="M2" t="s">
        <v>21</v>
      </c>
    </row>
    <row r="3" spans="1:13" x14ac:dyDescent="0.35">
      <c r="A3" t="str">
        <f>"925-4330"</f>
        <v>925-4330</v>
      </c>
      <c r="B3" t="s">
        <v>22</v>
      </c>
      <c r="C3" t="str">
        <f>"1195"</f>
        <v>1195</v>
      </c>
      <c r="E3" t="s">
        <v>23</v>
      </c>
      <c r="F3" t="s">
        <v>24</v>
      </c>
      <c r="G3" t="s">
        <v>25</v>
      </c>
      <c r="H3" t="s">
        <v>17</v>
      </c>
      <c r="I3" t="s">
        <v>18</v>
      </c>
      <c r="J3" t="str">
        <f>"5142267083"</f>
        <v>5142267083</v>
      </c>
      <c r="K3" t="s">
        <v>26</v>
      </c>
      <c r="L3" t="s">
        <v>27</v>
      </c>
      <c r="M3" t="s">
        <v>21</v>
      </c>
    </row>
    <row r="4" spans="1:13" x14ac:dyDescent="0.35">
      <c r="A4" t="str">
        <f>"957-8182"</f>
        <v>957-8182</v>
      </c>
      <c r="B4" t="s">
        <v>30</v>
      </c>
      <c r="C4" t="str">
        <f>"698"</f>
        <v>698</v>
      </c>
      <c r="E4" t="s">
        <v>31</v>
      </c>
      <c r="F4" t="s">
        <v>32</v>
      </c>
      <c r="G4" t="s">
        <v>33</v>
      </c>
      <c r="H4" t="s">
        <v>17</v>
      </c>
      <c r="I4" t="s">
        <v>18</v>
      </c>
      <c r="J4" t="str">
        <f>"5149530343"</f>
        <v>5149530343</v>
      </c>
      <c r="K4" t="s">
        <v>34</v>
      </c>
      <c r="L4" t="s">
        <v>20</v>
      </c>
      <c r="M4" t="s">
        <v>21</v>
      </c>
    </row>
    <row r="5" spans="1:13" x14ac:dyDescent="0.35">
      <c r="A5" t="str">
        <f>"983-1309"</f>
        <v>983-1309</v>
      </c>
      <c r="B5" t="s">
        <v>35</v>
      </c>
      <c r="C5" t="str">
        <f>"321"</f>
        <v>321</v>
      </c>
      <c r="E5" t="s">
        <v>36</v>
      </c>
      <c r="F5" t="s">
        <v>24</v>
      </c>
      <c r="G5" t="s">
        <v>37</v>
      </c>
      <c r="H5" t="s">
        <v>17</v>
      </c>
      <c r="I5" t="s">
        <v>18</v>
      </c>
      <c r="J5" t="str">
        <f>"5146164396"</f>
        <v>5146164396</v>
      </c>
      <c r="K5" t="s">
        <v>38</v>
      </c>
      <c r="L5" t="s">
        <v>39</v>
      </c>
      <c r="M5" t="s">
        <v>21</v>
      </c>
    </row>
    <row r="6" spans="1:13" x14ac:dyDescent="0.35">
      <c r="A6" t="str">
        <f>"991-3161"</f>
        <v>991-3161</v>
      </c>
      <c r="B6" t="s">
        <v>41</v>
      </c>
      <c r="C6" t="str">
        <f>"49"</f>
        <v>49</v>
      </c>
      <c r="D6" t="str">
        <f>"B"</f>
        <v>B</v>
      </c>
      <c r="E6" t="s">
        <v>42</v>
      </c>
      <c r="F6" t="s">
        <v>43</v>
      </c>
      <c r="G6" t="s">
        <v>44</v>
      </c>
      <c r="H6" t="s">
        <v>17</v>
      </c>
      <c r="I6" t="s">
        <v>18</v>
      </c>
      <c r="J6" t="str">
        <f>"4508034880"</f>
        <v>4508034880</v>
      </c>
      <c r="K6" t="s">
        <v>45</v>
      </c>
      <c r="L6" t="s">
        <v>20</v>
      </c>
      <c r="M6" t="s">
        <v>21</v>
      </c>
    </row>
    <row r="7" spans="1:13" x14ac:dyDescent="0.35">
      <c r="A7" t="str">
        <f>"018-2929"</f>
        <v>018-2929</v>
      </c>
      <c r="B7" t="s">
        <v>47</v>
      </c>
      <c r="C7" t="str">
        <f>"5358"</f>
        <v>5358</v>
      </c>
      <c r="E7" t="s">
        <v>48</v>
      </c>
      <c r="F7" t="s">
        <v>24</v>
      </c>
      <c r="G7" t="s">
        <v>49</v>
      </c>
      <c r="H7" t="s">
        <v>17</v>
      </c>
      <c r="I7" t="s">
        <v>18</v>
      </c>
      <c r="J7" t="str">
        <f>"5142187298"</f>
        <v>5142187298</v>
      </c>
      <c r="K7" t="s">
        <v>50</v>
      </c>
      <c r="L7" t="s">
        <v>27</v>
      </c>
      <c r="M7" t="s">
        <v>21</v>
      </c>
    </row>
    <row r="8" spans="1:13" x14ac:dyDescent="0.35">
      <c r="A8" t="str">
        <f>"027-3379"</f>
        <v>027-3379</v>
      </c>
      <c r="B8" t="s">
        <v>52</v>
      </c>
      <c r="C8" t="str">
        <f>"4841"</f>
        <v>4841</v>
      </c>
      <c r="D8" t="str">
        <f>"102"</f>
        <v>102</v>
      </c>
      <c r="E8" t="s">
        <v>53</v>
      </c>
      <c r="F8" t="s">
        <v>54</v>
      </c>
      <c r="G8" t="s">
        <v>55</v>
      </c>
      <c r="H8" t="s">
        <v>17</v>
      </c>
      <c r="I8" t="s">
        <v>18</v>
      </c>
      <c r="J8" t="str">
        <f>"5142081756"</f>
        <v>5142081756</v>
      </c>
      <c r="K8" t="s">
        <v>56</v>
      </c>
      <c r="L8" t="s">
        <v>20</v>
      </c>
      <c r="M8" t="s">
        <v>21</v>
      </c>
    </row>
    <row r="9" spans="1:13" x14ac:dyDescent="0.35">
      <c r="A9" t="str">
        <f>"036-9933"</f>
        <v>036-9933</v>
      </c>
      <c r="B9" t="s">
        <v>57</v>
      </c>
      <c r="C9" t="str">
        <f>"637"</f>
        <v>637</v>
      </c>
      <c r="E9" t="s">
        <v>58</v>
      </c>
      <c r="F9" t="s">
        <v>24</v>
      </c>
      <c r="G9" t="s">
        <v>59</v>
      </c>
      <c r="H9" t="s">
        <v>17</v>
      </c>
      <c r="I9" t="s">
        <v>18</v>
      </c>
      <c r="J9" t="str">
        <f>"5142793659"</f>
        <v>5142793659</v>
      </c>
      <c r="K9" t="s">
        <v>60</v>
      </c>
      <c r="L9" t="s">
        <v>61</v>
      </c>
      <c r="M9" t="s">
        <v>21</v>
      </c>
    </row>
    <row r="10" spans="1:13" x14ac:dyDescent="0.35">
      <c r="A10" t="str">
        <f>"046-8206"</f>
        <v>046-8206</v>
      </c>
      <c r="B10" t="s">
        <v>62</v>
      </c>
      <c r="C10" t="str">
        <f>"7515"</f>
        <v>7515</v>
      </c>
      <c r="D10" t="str">
        <f>"5"</f>
        <v>5</v>
      </c>
      <c r="E10" t="s">
        <v>63</v>
      </c>
      <c r="F10" t="s">
        <v>24</v>
      </c>
      <c r="G10" t="s">
        <v>64</v>
      </c>
      <c r="H10" t="s">
        <v>17</v>
      </c>
      <c r="I10" t="s">
        <v>18</v>
      </c>
      <c r="J10" t="str">
        <f>"5142908404"</f>
        <v>5142908404</v>
      </c>
      <c r="K10" t="s">
        <v>65</v>
      </c>
      <c r="L10" t="s">
        <v>27</v>
      </c>
      <c r="M10" t="s">
        <v>21</v>
      </c>
    </row>
    <row r="11" spans="1:13" x14ac:dyDescent="0.35">
      <c r="A11" t="str">
        <f>"048-2568"</f>
        <v>048-2568</v>
      </c>
      <c r="B11" t="s">
        <v>66</v>
      </c>
      <c r="C11" t="str">
        <f>"11144"</f>
        <v>11144</v>
      </c>
      <c r="D11" t="str">
        <f>"3"</f>
        <v>3</v>
      </c>
      <c r="E11" t="s">
        <v>67</v>
      </c>
      <c r="F11" t="s">
        <v>24</v>
      </c>
      <c r="G11" t="s">
        <v>68</v>
      </c>
      <c r="H11" t="s">
        <v>17</v>
      </c>
      <c r="I11" t="s">
        <v>18</v>
      </c>
      <c r="J11" t="str">
        <f>"5144651682"</f>
        <v>5144651682</v>
      </c>
      <c r="K11" t="s">
        <v>69</v>
      </c>
      <c r="L11" t="s">
        <v>70</v>
      </c>
      <c r="M11" t="s">
        <v>21</v>
      </c>
    </row>
    <row r="12" spans="1:13" x14ac:dyDescent="0.35">
      <c r="A12" t="str">
        <f>"053-4469"</f>
        <v>053-4469</v>
      </c>
      <c r="B12" t="s">
        <v>71</v>
      </c>
      <c r="C12" t="str">
        <f>"6551"</f>
        <v>6551</v>
      </c>
      <c r="D12" t="str">
        <f>"6551"</f>
        <v>6551</v>
      </c>
      <c r="E12" t="s">
        <v>72</v>
      </c>
      <c r="F12" t="s">
        <v>24</v>
      </c>
      <c r="G12" t="s">
        <v>73</v>
      </c>
      <c r="H12" t="s">
        <v>17</v>
      </c>
      <c r="I12" t="s">
        <v>18</v>
      </c>
      <c r="J12" t="str">
        <f>"4388253691"</f>
        <v>4388253691</v>
      </c>
      <c r="K12" t="s">
        <v>74</v>
      </c>
      <c r="L12" t="s">
        <v>27</v>
      </c>
      <c r="M12" t="s">
        <v>21</v>
      </c>
    </row>
    <row r="13" spans="1:13" x14ac:dyDescent="0.35">
      <c r="A13" t="str">
        <f>"074-3672"</f>
        <v>074-3672</v>
      </c>
      <c r="B13" t="s">
        <v>77</v>
      </c>
      <c r="C13" t="str">
        <f>"5046"</f>
        <v>5046</v>
      </c>
      <c r="E13" t="s">
        <v>78</v>
      </c>
      <c r="F13" t="s">
        <v>24</v>
      </c>
      <c r="G13" t="s">
        <v>79</v>
      </c>
      <c r="H13" t="s">
        <v>17</v>
      </c>
      <c r="I13" t="s">
        <v>18</v>
      </c>
      <c r="J13" t="str">
        <f>"4382213455"</f>
        <v>4382213455</v>
      </c>
      <c r="K13" t="s">
        <v>80</v>
      </c>
      <c r="L13" t="s">
        <v>76</v>
      </c>
      <c r="M13" t="s">
        <v>21</v>
      </c>
    </row>
    <row r="14" spans="1:13" x14ac:dyDescent="0.35">
      <c r="A14" t="str">
        <f>"075-3119"</f>
        <v>075-3119</v>
      </c>
      <c r="B14" t="s">
        <v>81</v>
      </c>
      <c r="C14" t="str">
        <f>"2845"</f>
        <v>2845</v>
      </c>
      <c r="D14" t="str">
        <f>"3"</f>
        <v>3</v>
      </c>
      <c r="E14" t="s">
        <v>82</v>
      </c>
      <c r="F14" t="s">
        <v>24</v>
      </c>
      <c r="G14" t="s">
        <v>83</v>
      </c>
      <c r="H14" t="s">
        <v>17</v>
      </c>
      <c r="I14" t="s">
        <v>18</v>
      </c>
      <c r="J14" t="str">
        <f>"5145137424"</f>
        <v>5145137424</v>
      </c>
      <c r="K14" t="s">
        <v>84</v>
      </c>
      <c r="L14" t="s">
        <v>76</v>
      </c>
      <c r="M14" t="s">
        <v>21</v>
      </c>
    </row>
    <row r="15" spans="1:13" x14ac:dyDescent="0.35">
      <c r="A15" t="str">
        <f>"085-5465"</f>
        <v>085-5465</v>
      </c>
      <c r="B15" t="s">
        <v>89</v>
      </c>
      <c r="C15" t="str">
        <f>"172"</f>
        <v>172</v>
      </c>
      <c r="E15" t="s">
        <v>90</v>
      </c>
      <c r="F15" t="s">
        <v>91</v>
      </c>
      <c r="G15" t="s">
        <v>92</v>
      </c>
      <c r="H15" t="s">
        <v>17</v>
      </c>
      <c r="I15" t="s">
        <v>18</v>
      </c>
      <c r="J15" t="str">
        <f>"4388701778"</f>
        <v>4388701778</v>
      </c>
      <c r="K15" t="s">
        <v>93</v>
      </c>
      <c r="L15" t="s">
        <v>20</v>
      </c>
      <c r="M15" t="s">
        <v>21</v>
      </c>
    </row>
    <row r="16" spans="1:13" x14ac:dyDescent="0.35">
      <c r="A16" t="str">
        <f>"087-0732"</f>
        <v>087-0732</v>
      </c>
      <c r="B16" t="s">
        <v>94</v>
      </c>
      <c r="C16" t="str">
        <f>"60"</f>
        <v>60</v>
      </c>
      <c r="D16" t="str">
        <f>"111"</f>
        <v>111</v>
      </c>
      <c r="E16" t="s">
        <v>95</v>
      </c>
      <c r="F16" t="s">
        <v>24</v>
      </c>
      <c r="G16" t="s">
        <v>96</v>
      </c>
      <c r="H16" t="s">
        <v>17</v>
      </c>
      <c r="I16" t="s">
        <v>18</v>
      </c>
      <c r="J16" t="str">
        <f>"5143782497"</f>
        <v>5143782497</v>
      </c>
      <c r="K16" t="s">
        <v>97</v>
      </c>
      <c r="L16" t="s">
        <v>98</v>
      </c>
      <c r="M16" t="s">
        <v>21</v>
      </c>
    </row>
    <row r="17" spans="1:13" x14ac:dyDescent="0.35">
      <c r="A17" t="str">
        <f>"087-1186"</f>
        <v>087-1186</v>
      </c>
      <c r="B17" t="s">
        <v>99</v>
      </c>
      <c r="C17" t="str">
        <f>"7640"</f>
        <v>7640</v>
      </c>
      <c r="D17" t="str">
        <f>"4"</f>
        <v>4</v>
      </c>
      <c r="E17" t="s">
        <v>100</v>
      </c>
      <c r="F17" t="s">
        <v>40</v>
      </c>
      <c r="G17" t="s">
        <v>101</v>
      </c>
      <c r="H17" t="s">
        <v>17</v>
      </c>
      <c r="I17" t="s">
        <v>18</v>
      </c>
      <c r="J17" t="str">
        <f>"5148562039"</f>
        <v>5148562039</v>
      </c>
      <c r="K17" t="s">
        <v>102</v>
      </c>
      <c r="L17" t="s">
        <v>103</v>
      </c>
      <c r="M17" t="s">
        <v>21</v>
      </c>
    </row>
    <row r="18" spans="1:13" x14ac:dyDescent="0.35">
      <c r="A18" t="str">
        <f>"090-2897"</f>
        <v>090-2897</v>
      </c>
      <c r="B18" t="s">
        <v>104</v>
      </c>
      <c r="C18" t="str">
        <f>"4212"</f>
        <v>4212</v>
      </c>
      <c r="D18" t="str">
        <f>"3"</f>
        <v>3</v>
      </c>
      <c r="E18" t="s">
        <v>105</v>
      </c>
      <c r="F18" t="s">
        <v>24</v>
      </c>
      <c r="G18" t="s">
        <v>106</v>
      </c>
      <c r="H18" t="s">
        <v>17</v>
      </c>
      <c r="I18" t="s">
        <v>18</v>
      </c>
      <c r="J18" t="str">
        <f>"5146471422"</f>
        <v>5146471422</v>
      </c>
      <c r="K18" t="s">
        <v>107</v>
      </c>
      <c r="L18" t="s">
        <v>61</v>
      </c>
      <c r="M18" t="s">
        <v>21</v>
      </c>
    </row>
    <row r="19" spans="1:13" x14ac:dyDescent="0.35">
      <c r="A19" t="str">
        <f>"091-8218"</f>
        <v>091-8218</v>
      </c>
      <c r="B19" t="s">
        <v>108</v>
      </c>
      <c r="C19" t="str">
        <f>"1934"</f>
        <v>1934</v>
      </c>
      <c r="E19" t="s">
        <v>109</v>
      </c>
      <c r="F19" t="s">
        <v>54</v>
      </c>
      <c r="G19" t="s">
        <v>110</v>
      </c>
      <c r="H19" t="s">
        <v>17</v>
      </c>
      <c r="I19" t="s">
        <v>18</v>
      </c>
      <c r="J19" t="str">
        <f>"4387257922"</f>
        <v>4387257922</v>
      </c>
      <c r="K19" t="s">
        <v>111</v>
      </c>
      <c r="L19" t="s">
        <v>27</v>
      </c>
      <c r="M19" t="s">
        <v>21</v>
      </c>
    </row>
    <row r="20" spans="1:13" x14ac:dyDescent="0.35">
      <c r="A20" t="str">
        <f>"091-8753"</f>
        <v>091-8753</v>
      </c>
      <c r="B20" t="s">
        <v>112</v>
      </c>
      <c r="C20" t="str">
        <f>"8000"</f>
        <v>8000</v>
      </c>
      <c r="D20" t="str">
        <f>"1"</f>
        <v>1</v>
      </c>
      <c r="E20" t="s">
        <v>113</v>
      </c>
      <c r="F20" t="s">
        <v>24</v>
      </c>
      <c r="G20" t="s">
        <v>114</v>
      </c>
      <c r="H20" t="s">
        <v>17</v>
      </c>
      <c r="I20" t="s">
        <v>18</v>
      </c>
      <c r="J20" t="str">
        <f>"5147938992"</f>
        <v>5147938992</v>
      </c>
      <c r="K20" t="s">
        <v>115</v>
      </c>
      <c r="L20" t="s">
        <v>27</v>
      </c>
      <c r="M20" t="s">
        <v>21</v>
      </c>
    </row>
    <row r="21" spans="1:13" x14ac:dyDescent="0.35">
      <c r="A21" t="str">
        <f>"095-8797"</f>
        <v>095-8797</v>
      </c>
      <c r="B21" t="s">
        <v>116</v>
      </c>
      <c r="C21" t="str">
        <f>"12287"</f>
        <v>12287</v>
      </c>
      <c r="E21" t="s">
        <v>117</v>
      </c>
      <c r="F21" t="s">
        <v>24</v>
      </c>
      <c r="G21" t="s">
        <v>118</v>
      </c>
      <c r="H21" t="s">
        <v>17</v>
      </c>
      <c r="I21" t="s">
        <v>18</v>
      </c>
      <c r="J21" t="str">
        <f>"5143589128"</f>
        <v>5143589128</v>
      </c>
      <c r="K21" t="s">
        <v>119</v>
      </c>
      <c r="L21" t="s">
        <v>27</v>
      </c>
      <c r="M21" t="s">
        <v>21</v>
      </c>
    </row>
    <row r="22" spans="1:13" x14ac:dyDescent="0.35">
      <c r="A22" t="str">
        <f>"100-0358"</f>
        <v>100-0358</v>
      </c>
      <c r="B22" t="s">
        <v>120</v>
      </c>
      <c r="C22" t="str">
        <f>"8848"</f>
        <v>8848</v>
      </c>
      <c r="E22" t="s">
        <v>121</v>
      </c>
      <c r="F22" t="s">
        <v>24</v>
      </c>
      <c r="G22" t="s">
        <v>122</v>
      </c>
      <c r="H22" t="s">
        <v>17</v>
      </c>
      <c r="I22" t="s">
        <v>18</v>
      </c>
      <c r="J22" t="str">
        <f>"5148804717"</f>
        <v>5148804717</v>
      </c>
      <c r="K22" t="s">
        <v>123</v>
      </c>
      <c r="L22" t="s">
        <v>29</v>
      </c>
      <c r="M22" t="s">
        <v>21</v>
      </c>
    </row>
    <row r="23" spans="1:13" x14ac:dyDescent="0.35">
      <c r="A23" t="str">
        <f>"100-6062"</f>
        <v>100-6062</v>
      </c>
      <c r="B23" t="s">
        <v>124</v>
      </c>
      <c r="C23" t="str">
        <f>"1304"</f>
        <v>1304</v>
      </c>
      <c r="D23" t="str">
        <f>"2"</f>
        <v>2</v>
      </c>
      <c r="E23" t="s">
        <v>125</v>
      </c>
      <c r="F23" t="s">
        <v>24</v>
      </c>
      <c r="G23" t="s">
        <v>126</v>
      </c>
      <c r="H23" t="s">
        <v>17</v>
      </c>
      <c r="I23" t="s">
        <v>18</v>
      </c>
      <c r="J23" t="str">
        <f>"5144348576"</f>
        <v>5144348576</v>
      </c>
      <c r="K23" t="s">
        <v>127</v>
      </c>
      <c r="L23" t="s">
        <v>29</v>
      </c>
      <c r="M23" t="s">
        <v>21</v>
      </c>
    </row>
    <row r="24" spans="1:13" x14ac:dyDescent="0.35">
      <c r="A24" t="str">
        <f>"101-2753"</f>
        <v>101-2753</v>
      </c>
      <c r="B24" t="s">
        <v>128</v>
      </c>
      <c r="C24" t="str">
        <f>"6738"</f>
        <v>6738</v>
      </c>
      <c r="D24" t="str">
        <f>"6"</f>
        <v>6</v>
      </c>
      <c r="E24" t="s">
        <v>129</v>
      </c>
      <c r="F24" t="s">
        <v>24</v>
      </c>
      <c r="G24" t="s">
        <v>130</v>
      </c>
      <c r="H24" t="s">
        <v>17</v>
      </c>
      <c r="I24" t="s">
        <v>18</v>
      </c>
      <c r="J24" t="str">
        <f>"5144437303"</f>
        <v>5144437303</v>
      </c>
      <c r="K24" t="s">
        <v>131</v>
      </c>
      <c r="L24" t="s">
        <v>39</v>
      </c>
      <c r="M24" t="s">
        <v>21</v>
      </c>
    </row>
    <row r="25" spans="1:13" x14ac:dyDescent="0.35">
      <c r="A25" t="str">
        <f>"110-5959"</f>
        <v>110-5959</v>
      </c>
      <c r="B25" t="s">
        <v>133</v>
      </c>
      <c r="C25" t="str">
        <f>"1405"</f>
        <v>1405</v>
      </c>
      <c r="D25" t="str">
        <f>"1"</f>
        <v>1</v>
      </c>
      <c r="E25" t="s">
        <v>134</v>
      </c>
      <c r="F25" t="s">
        <v>24</v>
      </c>
      <c r="G25" t="s">
        <v>135</v>
      </c>
      <c r="H25" t="s">
        <v>17</v>
      </c>
      <c r="I25" t="s">
        <v>18</v>
      </c>
      <c r="J25" t="str">
        <f>"4385806074"</f>
        <v>4385806074</v>
      </c>
      <c r="K25" t="s">
        <v>136</v>
      </c>
      <c r="L25" t="s">
        <v>137</v>
      </c>
      <c r="M25" t="s">
        <v>21</v>
      </c>
    </row>
    <row r="26" spans="1:13" x14ac:dyDescent="0.35">
      <c r="A26" t="str">
        <f>"114-4331"</f>
        <v>114-4331</v>
      </c>
      <c r="B26" t="s">
        <v>138</v>
      </c>
      <c r="C26" t="str">
        <f>"6002"</f>
        <v>6002</v>
      </c>
      <c r="E26" t="s">
        <v>139</v>
      </c>
      <c r="F26" t="s">
        <v>24</v>
      </c>
      <c r="G26" t="s">
        <v>140</v>
      </c>
      <c r="H26" t="s">
        <v>17</v>
      </c>
      <c r="I26" t="s">
        <v>18</v>
      </c>
      <c r="J26" t="str">
        <f>"5142240460"</f>
        <v>5142240460</v>
      </c>
      <c r="K26" t="s">
        <v>141</v>
      </c>
      <c r="L26" t="s">
        <v>142</v>
      </c>
      <c r="M26" t="s">
        <v>21</v>
      </c>
    </row>
    <row r="27" spans="1:13" x14ac:dyDescent="0.35">
      <c r="A27" t="str">
        <f>"096-3398"</f>
        <v>096-3398</v>
      </c>
      <c r="B27" t="s">
        <v>146</v>
      </c>
      <c r="C27" t="str">
        <f>"6425"</f>
        <v>6425</v>
      </c>
      <c r="E27" t="s">
        <v>147</v>
      </c>
      <c r="F27" t="s">
        <v>24</v>
      </c>
      <c r="G27" t="s">
        <v>148</v>
      </c>
      <c r="H27" t="s">
        <v>17</v>
      </c>
      <c r="I27" t="s">
        <v>18</v>
      </c>
      <c r="J27" t="str">
        <f>"5148269252"</f>
        <v>5148269252</v>
      </c>
      <c r="K27" t="s">
        <v>149</v>
      </c>
      <c r="L27" t="s">
        <v>27</v>
      </c>
      <c r="M27" t="s">
        <v>21</v>
      </c>
    </row>
    <row r="28" spans="1:13" x14ac:dyDescent="0.35">
      <c r="A28" t="str">
        <f>"121-0525"</f>
        <v>121-0525</v>
      </c>
      <c r="B28" t="s">
        <v>150</v>
      </c>
      <c r="C28" t="str">
        <f>"2030"</f>
        <v>2030</v>
      </c>
      <c r="E28" t="s">
        <v>151</v>
      </c>
      <c r="F28" t="s">
        <v>152</v>
      </c>
      <c r="G28" t="s">
        <v>153</v>
      </c>
      <c r="H28" t="s">
        <v>17</v>
      </c>
      <c r="I28" t="s">
        <v>18</v>
      </c>
      <c r="J28" t="str">
        <f>"4388880408"</f>
        <v>4388880408</v>
      </c>
      <c r="K28" t="s">
        <v>154</v>
      </c>
      <c r="L28" t="s">
        <v>98</v>
      </c>
      <c r="M28" t="s">
        <v>21</v>
      </c>
    </row>
    <row r="29" spans="1:13" x14ac:dyDescent="0.35">
      <c r="A29" t="str">
        <f>"104-5547"</f>
        <v>104-5547</v>
      </c>
      <c r="B29" t="s">
        <v>155</v>
      </c>
      <c r="C29" t="str">
        <f>"2475"</f>
        <v>2475</v>
      </c>
      <c r="D29" t="str">
        <f>"302"</f>
        <v>302</v>
      </c>
      <c r="E29" t="s">
        <v>156</v>
      </c>
      <c r="F29" t="s">
        <v>157</v>
      </c>
      <c r="G29" t="s">
        <v>158</v>
      </c>
      <c r="H29" t="s">
        <v>17</v>
      </c>
      <c r="I29" t="s">
        <v>18</v>
      </c>
      <c r="J29" t="str">
        <f>"5146044094"</f>
        <v>5146044094</v>
      </c>
      <c r="K29" t="s">
        <v>159</v>
      </c>
      <c r="L29" t="s">
        <v>29</v>
      </c>
      <c r="M29" t="s">
        <v>21</v>
      </c>
    </row>
    <row r="30" spans="1:13" x14ac:dyDescent="0.35">
      <c r="A30" t="str">
        <f>"125-5377"</f>
        <v>125-5377</v>
      </c>
      <c r="B30" t="s">
        <v>160</v>
      </c>
      <c r="C30" t="str">
        <f>"245"</f>
        <v>245</v>
      </c>
      <c r="D30" t="str">
        <f>"302"</f>
        <v>302</v>
      </c>
      <c r="E30" t="s">
        <v>161</v>
      </c>
      <c r="F30" t="s">
        <v>32</v>
      </c>
      <c r="G30" t="s">
        <v>162</v>
      </c>
      <c r="H30" t="s">
        <v>17</v>
      </c>
      <c r="I30" t="s">
        <v>18</v>
      </c>
      <c r="J30" t="str">
        <f>"4382705020"</f>
        <v>4382705020</v>
      </c>
      <c r="K30" t="s">
        <v>163</v>
      </c>
      <c r="L30" t="s">
        <v>27</v>
      </c>
      <c r="M30" t="s">
        <v>21</v>
      </c>
    </row>
    <row r="31" spans="1:13" x14ac:dyDescent="0.35">
      <c r="A31" t="str">
        <f>"128-3539"</f>
        <v>128-3539</v>
      </c>
      <c r="B31" t="s">
        <v>164</v>
      </c>
      <c r="C31" t="str">
        <f>"8434"</f>
        <v>8434</v>
      </c>
      <c r="E31" t="s">
        <v>165</v>
      </c>
      <c r="F31" t="s">
        <v>24</v>
      </c>
      <c r="G31" t="s">
        <v>166</v>
      </c>
      <c r="H31" t="s">
        <v>17</v>
      </c>
      <c r="I31" t="s">
        <v>18</v>
      </c>
      <c r="J31" t="str">
        <f>"5147757089"</f>
        <v>5147757089</v>
      </c>
      <c r="K31" t="s">
        <v>167</v>
      </c>
      <c r="L31" t="s">
        <v>168</v>
      </c>
      <c r="M31" t="s">
        <v>21</v>
      </c>
    </row>
    <row r="32" spans="1:13" x14ac:dyDescent="0.35">
      <c r="A32" t="str">
        <f>"111-1383"</f>
        <v>111-1383</v>
      </c>
      <c r="B32" t="s">
        <v>171</v>
      </c>
      <c r="C32" t="str">
        <f>"6352"</f>
        <v>6352</v>
      </c>
      <c r="E32" t="s">
        <v>172</v>
      </c>
      <c r="F32" t="s">
        <v>24</v>
      </c>
      <c r="G32" t="s">
        <v>173</v>
      </c>
      <c r="H32" t="s">
        <v>17</v>
      </c>
      <c r="I32" t="s">
        <v>18</v>
      </c>
      <c r="J32" t="str">
        <f>"5145156426"</f>
        <v>5145156426</v>
      </c>
      <c r="K32" t="s">
        <v>174</v>
      </c>
      <c r="L32" t="s">
        <v>132</v>
      </c>
      <c r="M32" t="s">
        <v>21</v>
      </c>
    </row>
    <row r="33" spans="1:13" x14ac:dyDescent="0.35">
      <c r="A33" t="str">
        <f>"610-3742"</f>
        <v>610-3742</v>
      </c>
      <c r="B33" t="s">
        <v>175</v>
      </c>
      <c r="C33" t="str">
        <f>"6682"</f>
        <v>6682</v>
      </c>
      <c r="E33" t="s">
        <v>176</v>
      </c>
      <c r="F33" t="s">
        <v>24</v>
      </c>
      <c r="G33" t="s">
        <v>177</v>
      </c>
      <c r="H33" t="s">
        <v>17</v>
      </c>
      <c r="I33" t="s">
        <v>18</v>
      </c>
      <c r="J33" t="str">
        <f>"5145719780"</f>
        <v>5145719780</v>
      </c>
      <c r="K33" t="s">
        <v>178</v>
      </c>
      <c r="L33" t="s">
        <v>27</v>
      </c>
      <c r="M33" t="s">
        <v>21</v>
      </c>
    </row>
    <row r="34" spans="1:13" x14ac:dyDescent="0.35">
      <c r="A34" t="str">
        <f>"102-4552"</f>
        <v>102-4552</v>
      </c>
      <c r="B34" t="s">
        <v>179</v>
      </c>
      <c r="C34" t="str">
        <f>"2582"</f>
        <v>2582</v>
      </c>
      <c r="E34" t="s">
        <v>180</v>
      </c>
      <c r="F34" t="s">
        <v>40</v>
      </c>
      <c r="G34" t="s">
        <v>181</v>
      </c>
      <c r="H34" t="s">
        <v>17</v>
      </c>
      <c r="I34" t="s">
        <v>18</v>
      </c>
      <c r="J34" t="str">
        <f>"5147139632"</f>
        <v>5147139632</v>
      </c>
      <c r="K34" t="s">
        <v>182</v>
      </c>
      <c r="L34" t="s">
        <v>29</v>
      </c>
      <c r="M34" t="s">
        <v>21</v>
      </c>
    </row>
    <row r="35" spans="1:13" x14ac:dyDescent="0.35">
      <c r="A35" t="str">
        <f>"132-0026"</f>
        <v>132-0026</v>
      </c>
      <c r="B35" t="s">
        <v>185</v>
      </c>
      <c r="C35" t="str">
        <f>"11327"</f>
        <v>11327</v>
      </c>
      <c r="E35" t="s">
        <v>186</v>
      </c>
      <c r="F35" t="s">
        <v>24</v>
      </c>
      <c r="G35" t="s">
        <v>187</v>
      </c>
      <c r="H35" t="s">
        <v>17</v>
      </c>
      <c r="I35" t="s">
        <v>18</v>
      </c>
      <c r="J35" t="str">
        <f>"5144390568"</f>
        <v>5144390568</v>
      </c>
      <c r="K35" t="s">
        <v>188</v>
      </c>
      <c r="L35" t="s">
        <v>29</v>
      </c>
      <c r="M35" t="s">
        <v>21</v>
      </c>
    </row>
    <row r="36" spans="1:13" x14ac:dyDescent="0.35">
      <c r="A36" t="str">
        <f>"136-4094"</f>
        <v>136-4094</v>
      </c>
      <c r="B36" t="s">
        <v>189</v>
      </c>
      <c r="C36" t="str">
        <f>"12215"</f>
        <v>12215</v>
      </c>
      <c r="E36" t="s">
        <v>190</v>
      </c>
      <c r="F36" t="s">
        <v>24</v>
      </c>
      <c r="G36" t="s">
        <v>191</v>
      </c>
      <c r="H36" t="s">
        <v>17</v>
      </c>
      <c r="I36" t="s">
        <v>18</v>
      </c>
      <c r="J36" t="str">
        <f>"5149245017"</f>
        <v>5149245017</v>
      </c>
      <c r="K36" t="s">
        <v>192</v>
      </c>
      <c r="L36" t="s">
        <v>193</v>
      </c>
      <c r="M36" t="s">
        <v>21</v>
      </c>
    </row>
    <row r="37" spans="1:13" x14ac:dyDescent="0.35">
      <c r="A37" t="str">
        <f>"136-9247"</f>
        <v>136-9247</v>
      </c>
      <c r="B37" t="s">
        <v>194</v>
      </c>
      <c r="C37" t="str">
        <f>"6420"</f>
        <v>6420</v>
      </c>
      <c r="E37" t="s">
        <v>195</v>
      </c>
      <c r="F37" t="s">
        <v>40</v>
      </c>
      <c r="G37" t="s">
        <v>196</v>
      </c>
      <c r="H37" t="s">
        <v>17</v>
      </c>
      <c r="I37" t="s">
        <v>18</v>
      </c>
      <c r="J37" t="str">
        <f>"5148026589"</f>
        <v>5148026589</v>
      </c>
      <c r="K37" t="s">
        <v>197</v>
      </c>
      <c r="L37" t="s">
        <v>198</v>
      </c>
      <c r="M37" t="s">
        <v>21</v>
      </c>
    </row>
    <row r="38" spans="1:13" x14ac:dyDescent="0.35">
      <c r="A38" t="str">
        <f>"138-6934"</f>
        <v>138-6934</v>
      </c>
      <c r="B38" t="s">
        <v>199</v>
      </c>
      <c r="C38" t="str">
        <f>"8190"</f>
        <v>8190</v>
      </c>
      <c r="D38" t="str">
        <f>"2"</f>
        <v>2</v>
      </c>
      <c r="E38" t="s">
        <v>200</v>
      </c>
      <c r="F38" t="s">
        <v>24</v>
      </c>
      <c r="G38" t="s">
        <v>201</v>
      </c>
      <c r="H38" t="s">
        <v>17</v>
      </c>
      <c r="I38" t="s">
        <v>18</v>
      </c>
      <c r="J38" t="str">
        <f>"4387774010"</f>
        <v>4387774010</v>
      </c>
      <c r="K38" t="s">
        <v>202</v>
      </c>
      <c r="L38" t="s">
        <v>203</v>
      </c>
      <c r="M38" t="s">
        <v>21</v>
      </c>
    </row>
    <row r="39" spans="1:13" x14ac:dyDescent="0.35">
      <c r="A39" t="str">
        <f>"117-5835"</f>
        <v>117-5835</v>
      </c>
      <c r="B39" t="s">
        <v>204</v>
      </c>
      <c r="C39" t="str">
        <f>"5160"</f>
        <v>5160</v>
      </c>
      <c r="D39" t="str">
        <f>"4"</f>
        <v>4</v>
      </c>
      <c r="E39" t="s">
        <v>75</v>
      </c>
      <c r="F39" t="s">
        <v>24</v>
      </c>
      <c r="G39" t="s">
        <v>205</v>
      </c>
      <c r="H39" t="s">
        <v>17</v>
      </c>
      <c r="I39" t="s">
        <v>18</v>
      </c>
      <c r="J39" t="str">
        <f>"5144658041"</f>
        <v>5144658041</v>
      </c>
      <c r="K39" t="s">
        <v>206</v>
      </c>
      <c r="L39" t="s">
        <v>207</v>
      </c>
      <c r="M39" t="s">
        <v>21</v>
      </c>
    </row>
    <row r="40" spans="1:13" x14ac:dyDescent="0.35">
      <c r="A40" t="str">
        <f>"138-7104"</f>
        <v>138-7104</v>
      </c>
      <c r="B40" t="s">
        <v>208</v>
      </c>
      <c r="C40" t="str">
        <f>"4525"</f>
        <v>4525</v>
      </c>
      <c r="E40" t="s">
        <v>209</v>
      </c>
      <c r="F40" t="s">
        <v>54</v>
      </c>
      <c r="G40" t="s">
        <v>210</v>
      </c>
      <c r="H40" t="s">
        <v>17</v>
      </c>
      <c r="I40" t="s">
        <v>18</v>
      </c>
      <c r="J40" t="str">
        <f>"5142098962"</f>
        <v>5142098962</v>
      </c>
      <c r="K40" t="s">
        <v>211</v>
      </c>
      <c r="L40" t="s">
        <v>27</v>
      </c>
      <c r="M40" t="s">
        <v>21</v>
      </c>
    </row>
    <row r="41" spans="1:13" x14ac:dyDescent="0.35">
      <c r="A41" t="str">
        <f>"611-7129"</f>
        <v>611-7129</v>
      </c>
      <c r="B41" t="s">
        <v>212</v>
      </c>
      <c r="C41" t="str">
        <f>"3070"</f>
        <v>3070</v>
      </c>
      <c r="D41" t="str">
        <f>"11"</f>
        <v>11</v>
      </c>
      <c r="E41" t="s">
        <v>213</v>
      </c>
      <c r="F41" t="s">
        <v>24</v>
      </c>
      <c r="G41" t="s">
        <v>214</v>
      </c>
      <c r="H41" t="s">
        <v>17</v>
      </c>
      <c r="I41" t="s">
        <v>18</v>
      </c>
      <c r="J41" t="str">
        <f>"5147394467"</f>
        <v>5147394467</v>
      </c>
      <c r="K41" t="s">
        <v>215</v>
      </c>
      <c r="L41" t="s">
        <v>39</v>
      </c>
      <c r="M41" t="s">
        <v>21</v>
      </c>
    </row>
    <row r="42" spans="1:13" x14ac:dyDescent="0.35">
      <c r="A42" t="str">
        <f>"612-1243"</f>
        <v>612-1243</v>
      </c>
      <c r="B42" t="s">
        <v>216</v>
      </c>
      <c r="C42" t="str">
        <f>"683"</f>
        <v>683</v>
      </c>
      <c r="D42" t="str">
        <f>"683"</f>
        <v>683</v>
      </c>
      <c r="E42" t="s">
        <v>217</v>
      </c>
      <c r="F42" t="s">
        <v>24</v>
      </c>
      <c r="G42" t="s">
        <v>218</v>
      </c>
      <c r="H42" t="s">
        <v>17</v>
      </c>
      <c r="I42" t="s">
        <v>18</v>
      </c>
      <c r="J42" t="str">
        <f>"4384970213"</f>
        <v>4384970213</v>
      </c>
      <c r="K42" t="s">
        <v>219</v>
      </c>
      <c r="L42" t="s">
        <v>220</v>
      </c>
      <c r="M42" t="s">
        <v>21</v>
      </c>
    </row>
    <row r="43" spans="1:13" x14ac:dyDescent="0.35">
      <c r="A43" t="str">
        <f>"093-6528"</f>
        <v>093-6528</v>
      </c>
      <c r="B43" t="s">
        <v>221</v>
      </c>
      <c r="C43" t="str">
        <f>"12058"</f>
        <v>12058</v>
      </c>
      <c r="E43" t="s">
        <v>222</v>
      </c>
      <c r="F43" t="s">
        <v>24</v>
      </c>
      <c r="G43" t="s">
        <v>223</v>
      </c>
      <c r="H43" t="s">
        <v>17</v>
      </c>
      <c r="I43" t="s">
        <v>18</v>
      </c>
      <c r="J43" t="str">
        <f>"4383462667"</f>
        <v>4383462667</v>
      </c>
      <c r="K43" t="s">
        <v>224</v>
      </c>
      <c r="L43" t="s">
        <v>98</v>
      </c>
      <c r="M43" t="s">
        <v>21</v>
      </c>
    </row>
    <row r="44" spans="1:13" x14ac:dyDescent="0.35">
      <c r="A44" t="str">
        <f>"117-6280"</f>
        <v>117-6280</v>
      </c>
      <c r="B44" t="s">
        <v>225</v>
      </c>
      <c r="C44" t="str">
        <f>"10722"</f>
        <v>10722</v>
      </c>
      <c r="D44" t="str">
        <f>"3"</f>
        <v>3</v>
      </c>
      <c r="E44" t="s">
        <v>226</v>
      </c>
      <c r="F44" t="s">
        <v>24</v>
      </c>
      <c r="G44" t="s">
        <v>227</v>
      </c>
      <c r="H44" t="s">
        <v>17</v>
      </c>
      <c r="I44" t="s">
        <v>18</v>
      </c>
      <c r="J44" t="str">
        <f>"4389277004"</f>
        <v>4389277004</v>
      </c>
      <c r="K44" t="s">
        <v>228</v>
      </c>
      <c r="L44" t="s">
        <v>27</v>
      </c>
      <c r="M44" t="s">
        <v>21</v>
      </c>
    </row>
    <row r="45" spans="1:13" x14ac:dyDescent="0.35">
      <c r="A45" t="str">
        <f>"140-6680"</f>
        <v>140-6680</v>
      </c>
      <c r="B45" t="s">
        <v>230</v>
      </c>
      <c r="C45" t="str">
        <f>"6325"</f>
        <v>6325</v>
      </c>
      <c r="D45" t="str">
        <f>"201"</f>
        <v>201</v>
      </c>
      <c r="E45" t="s">
        <v>231</v>
      </c>
      <c r="F45" t="s">
        <v>24</v>
      </c>
      <c r="G45" t="s">
        <v>232</v>
      </c>
      <c r="H45" t="s">
        <v>17</v>
      </c>
      <c r="I45" t="s">
        <v>18</v>
      </c>
      <c r="J45" t="str">
        <f>"5143293143"</f>
        <v>5143293143</v>
      </c>
      <c r="K45" t="s">
        <v>233</v>
      </c>
      <c r="L45" t="s">
        <v>86</v>
      </c>
      <c r="M45" t="s">
        <v>21</v>
      </c>
    </row>
    <row r="46" spans="1:13" x14ac:dyDescent="0.35">
      <c r="A46" t="str">
        <f>"113-2890"</f>
        <v>113-2890</v>
      </c>
      <c r="B46" t="s">
        <v>237</v>
      </c>
      <c r="C46" t="str">
        <f>"4977"</f>
        <v>4977</v>
      </c>
      <c r="E46" t="s">
        <v>238</v>
      </c>
      <c r="F46" t="s">
        <v>24</v>
      </c>
      <c r="G46" t="s">
        <v>239</v>
      </c>
      <c r="H46" t="s">
        <v>17</v>
      </c>
      <c r="I46" t="s">
        <v>18</v>
      </c>
      <c r="J46" t="str">
        <f>"5142107204"</f>
        <v>5142107204</v>
      </c>
      <c r="K46" t="s">
        <v>240</v>
      </c>
      <c r="L46" t="s">
        <v>220</v>
      </c>
      <c r="M46" t="s">
        <v>21</v>
      </c>
    </row>
    <row r="47" spans="1:13" x14ac:dyDescent="0.35">
      <c r="A47" t="str">
        <f>"102-0507"</f>
        <v>102-0507</v>
      </c>
      <c r="B47" t="s">
        <v>241</v>
      </c>
      <c r="C47" t="str">
        <f>"8242"</f>
        <v>8242</v>
      </c>
      <c r="E47" t="s">
        <v>242</v>
      </c>
      <c r="F47" t="s">
        <v>24</v>
      </c>
      <c r="G47" t="s">
        <v>243</v>
      </c>
      <c r="H47" t="s">
        <v>17</v>
      </c>
      <c r="I47" t="s">
        <v>18</v>
      </c>
      <c r="J47" t="str">
        <f>"5146160200"</f>
        <v>5146160200</v>
      </c>
      <c r="K47" t="s">
        <v>244</v>
      </c>
      <c r="L47" t="s">
        <v>86</v>
      </c>
      <c r="M47" t="s">
        <v>21</v>
      </c>
    </row>
    <row r="48" spans="1:13" x14ac:dyDescent="0.35">
      <c r="A48" t="str">
        <f>"143-3331"</f>
        <v>143-3331</v>
      </c>
      <c r="B48" t="s">
        <v>245</v>
      </c>
      <c r="C48" t="str">
        <f>"5534"</f>
        <v>5534</v>
      </c>
      <c r="E48" t="s">
        <v>246</v>
      </c>
      <c r="F48" t="s">
        <v>24</v>
      </c>
      <c r="G48" t="s">
        <v>247</v>
      </c>
      <c r="H48" t="s">
        <v>17</v>
      </c>
      <c r="I48" t="s">
        <v>18</v>
      </c>
      <c r="J48" t="str">
        <f>"4384039607"</f>
        <v>4384039607</v>
      </c>
      <c r="K48" t="s">
        <v>248</v>
      </c>
      <c r="L48" t="s">
        <v>29</v>
      </c>
      <c r="M48" t="s">
        <v>21</v>
      </c>
    </row>
    <row r="49" spans="1:13" x14ac:dyDescent="0.35">
      <c r="A49" t="str">
        <f>"142-4667"</f>
        <v>142-4667</v>
      </c>
      <c r="B49" t="s">
        <v>249</v>
      </c>
      <c r="C49" t="str">
        <f>"590"</f>
        <v>590</v>
      </c>
      <c r="D49" t="str">
        <f>"20"</f>
        <v>20</v>
      </c>
      <c r="E49" t="s">
        <v>250</v>
      </c>
      <c r="F49" t="s">
        <v>24</v>
      </c>
      <c r="G49" t="s">
        <v>251</v>
      </c>
      <c r="H49" t="s">
        <v>17</v>
      </c>
      <c r="I49" t="s">
        <v>18</v>
      </c>
      <c r="J49" t="str">
        <f>"4385303586"</f>
        <v>4385303586</v>
      </c>
      <c r="K49" t="s">
        <v>252</v>
      </c>
      <c r="L49" t="s">
        <v>86</v>
      </c>
      <c r="M49" t="s">
        <v>21</v>
      </c>
    </row>
    <row r="50" spans="1:13" x14ac:dyDescent="0.35">
      <c r="A50" t="str">
        <f>"148-5987"</f>
        <v>148-5987</v>
      </c>
      <c r="B50" t="s">
        <v>254</v>
      </c>
      <c r="C50" t="str">
        <f>"1460"</f>
        <v>1460</v>
      </c>
      <c r="D50" t="str">
        <f>"6"</f>
        <v>6</v>
      </c>
      <c r="E50" t="s">
        <v>255</v>
      </c>
      <c r="F50" t="s">
        <v>256</v>
      </c>
      <c r="G50" t="s">
        <v>257</v>
      </c>
      <c r="H50" t="s">
        <v>17</v>
      </c>
      <c r="I50" t="s">
        <v>18</v>
      </c>
      <c r="J50" t="str">
        <f>"4388366763"</f>
        <v>4388366763</v>
      </c>
      <c r="K50" t="s">
        <v>258</v>
      </c>
      <c r="L50" t="s">
        <v>27</v>
      </c>
      <c r="M50" t="s">
        <v>21</v>
      </c>
    </row>
    <row r="51" spans="1:13" x14ac:dyDescent="0.35">
      <c r="A51" t="str">
        <f>"142-8757"</f>
        <v>142-8757</v>
      </c>
      <c r="B51" t="s">
        <v>259</v>
      </c>
      <c r="C51" t="str">
        <f>"7479"</f>
        <v>7479</v>
      </c>
      <c r="E51" t="s">
        <v>260</v>
      </c>
      <c r="F51" t="s">
        <v>24</v>
      </c>
      <c r="G51" t="s">
        <v>261</v>
      </c>
      <c r="H51" t="s">
        <v>17</v>
      </c>
      <c r="I51" t="s">
        <v>18</v>
      </c>
      <c r="J51" t="str">
        <f>"5142242299"</f>
        <v>5142242299</v>
      </c>
      <c r="K51" t="s">
        <v>262</v>
      </c>
      <c r="L51" t="s">
        <v>220</v>
      </c>
      <c r="M51" t="s">
        <v>21</v>
      </c>
    </row>
    <row r="52" spans="1:13" x14ac:dyDescent="0.35">
      <c r="A52" t="str">
        <f>"144-1831"</f>
        <v>144-1831</v>
      </c>
      <c r="B52" t="s">
        <v>263</v>
      </c>
      <c r="C52" t="str">
        <f>"13499"</f>
        <v>13499</v>
      </c>
      <c r="D52" t="str">
        <f>"301"</f>
        <v>301</v>
      </c>
      <c r="E52" t="s">
        <v>264</v>
      </c>
      <c r="F52" t="s">
        <v>40</v>
      </c>
      <c r="G52" t="s">
        <v>265</v>
      </c>
      <c r="H52" t="s">
        <v>17</v>
      </c>
      <c r="I52" t="s">
        <v>18</v>
      </c>
      <c r="J52" t="str">
        <f>"5142503447"</f>
        <v>5142503447</v>
      </c>
      <c r="K52" t="s">
        <v>266</v>
      </c>
      <c r="L52" t="s">
        <v>76</v>
      </c>
      <c r="M52" t="s">
        <v>21</v>
      </c>
    </row>
    <row r="53" spans="1:13" x14ac:dyDescent="0.35">
      <c r="A53" t="str">
        <f>"612-8609"</f>
        <v>612-8609</v>
      </c>
      <c r="B53" t="s">
        <v>267</v>
      </c>
      <c r="C53" t="str">
        <f>"11569"</f>
        <v>11569</v>
      </c>
      <c r="E53" t="s">
        <v>268</v>
      </c>
      <c r="F53" t="s">
        <v>24</v>
      </c>
      <c r="G53" t="s">
        <v>269</v>
      </c>
      <c r="H53" t="s">
        <v>17</v>
      </c>
      <c r="I53" t="s">
        <v>18</v>
      </c>
      <c r="J53" t="str">
        <f>"4387772474"</f>
        <v>4387772474</v>
      </c>
      <c r="K53" t="s">
        <v>270</v>
      </c>
      <c r="L53" t="s">
        <v>76</v>
      </c>
      <c r="M53" t="s">
        <v>21</v>
      </c>
    </row>
    <row r="54" spans="1:13" x14ac:dyDescent="0.35">
      <c r="A54" t="str">
        <f>"136-9683"</f>
        <v>136-9683</v>
      </c>
      <c r="B54" t="s">
        <v>271</v>
      </c>
      <c r="C54" t="str">
        <f>"510"</f>
        <v>510</v>
      </c>
      <c r="D54" t="str">
        <f>"7"</f>
        <v>7</v>
      </c>
      <c r="E54" t="s">
        <v>272</v>
      </c>
      <c r="F54" t="s">
        <v>54</v>
      </c>
      <c r="G54" t="s">
        <v>273</v>
      </c>
      <c r="H54" t="s">
        <v>17</v>
      </c>
      <c r="I54" t="s">
        <v>18</v>
      </c>
      <c r="J54" t="str">
        <f>"5148353538"</f>
        <v>5148353538</v>
      </c>
      <c r="K54" t="s">
        <v>274</v>
      </c>
      <c r="L54" t="s">
        <v>27</v>
      </c>
      <c r="M54" t="s">
        <v>21</v>
      </c>
    </row>
    <row r="55" spans="1:13" x14ac:dyDescent="0.35">
      <c r="A55" t="str">
        <f>"084-7503"</f>
        <v>084-7503</v>
      </c>
      <c r="B55" t="s">
        <v>276</v>
      </c>
      <c r="C55" t="str">
        <f>"1067"</f>
        <v>1067</v>
      </c>
      <c r="E55" t="s">
        <v>277</v>
      </c>
      <c r="F55" t="s">
        <v>157</v>
      </c>
      <c r="G55" t="s">
        <v>278</v>
      </c>
      <c r="H55" t="s">
        <v>17</v>
      </c>
      <c r="I55" t="s">
        <v>18</v>
      </c>
      <c r="J55" t="str">
        <f>"4384091879"</f>
        <v>4384091879</v>
      </c>
      <c r="K55" t="s">
        <v>279</v>
      </c>
      <c r="L55" t="s">
        <v>27</v>
      </c>
      <c r="M55" t="s">
        <v>21</v>
      </c>
    </row>
    <row r="56" spans="1:13" x14ac:dyDescent="0.35">
      <c r="A56" t="str">
        <f>"148-5002"</f>
        <v>148-5002</v>
      </c>
      <c r="B56" t="s">
        <v>280</v>
      </c>
      <c r="C56" t="str">
        <f>"2385"</f>
        <v>2385</v>
      </c>
      <c r="D56" t="str">
        <f>"101"</f>
        <v>101</v>
      </c>
      <c r="E56" t="s">
        <v>281</v>
      </c>
      <c r="F56" t="s">
        <v>24</v>
      </c>
      <c r="G56" t="s">
        <v>282</v>
      </c>
      <c r="H56" t="s">
        <v>17</v>
      </c>
      <c r="I56" t="s">
        <v>18</v>
      </c>
      <c r="J56" t="str">
        <f>"5149962329"</f>
        <v>5149962329</v>
      </c>
      <c r="K56" t="s">
        <v>283</v>
      </c>
      <c r="L56" t="s">
        <v>284</v>
      </c>
      <c r="M56" t="s">
        <v>21</v>
      </c>
    </row>
    <row r="57" spans="1:13" x14ac:dyDescent="0.35">
      <c r="A57" t="str">
        <f>"143-0111"</f>
        <v>143-0111</v>
      </c>
      <c r="B57" t="s">
        <v>285</v>
      </c>
      <c r="C57" t="str">
        <f>"5034"</f>
        <v>5034</v>
      </c>
      <c r="E57" t="s">
        <v>286</v>
      </c>
      <c r="F57" t="s">
        <v>24</v>
      </c>
      <c r="G57" t="s">
        <v>287</v>
      </c>
      <c r="H57" t="s">
        <v>17</v>
      </c>
      <c r="I57" t="s">
        <v>18</v>
      </c>
      <c r="J57" t="str">
        <f>"5148847970"</f>
        <v>5148847970</v>
      </c>
      <c r="K57" t="s">
        <v>288</v>
      </c>
      <c r="L57" t="s">
        <v>98</v>
      </c>
      <c r="M57" t="s">
        <v>21</v>
      </c>
    </row>
    <row r="58" spans="1:13" x14ac:dyDescent="0.35">
      <c r="A58" t="str">
        <f>"097-0129"</f>
        <v>097-0129</v>
      </c>
      <c r="B58" t="s">
        <v>289</v>
      </c>
      <c r="C58" t="str">
        <f>"789"</f>
        <v>789</v>
      </c>
      <c r="E58" t="s">
        <v>290</v>
      </c>
      <c r="F58" t="s">
        <v>32</v>
      </c>
      <c r="G58" t="s">
        <v>291</v>
      </c>
      <c r="H58" t="s">
        <v>17</v>
      </c>
      <c r="I58" t="s">
        <v>18</v>
      </c>
      <c r="J58" t="str">
        <f>"5148310758"</f>
        <v>5148310758</v>
      </c>
      <c r="K58" t="s">
        <v>292</v>
      </c>
      <c r="L58" t="s">
        <v>29</v>
      </c>
      <c r="M58" t="s">
        <v>21</v>
      </c>
    </row>
    <row r="59" spans="1:13" x14ac:dyDescent="0.35">
      <c r="A59" t="str">
        <f>"147-0116"</f>
        <v>147-0116</v>
      </c>
      <c r="B59" t="s">
        <v>293</v>
      </c>
      <c r="C59" t="str">
        <f>"1640"</f>
        <v>1640</v>
      </c>
      <c r="D59" t="str">
        <f>"7"</f>
        <v>7</v>
      </c>
      <c r="E59" t="s">
        <v>250</v>
      </c>
      <c r="F59" t="s">
        <v>24</v>
      </c>
      <c r="G59" t="s">
        <v>294</v>
      </c>
      <c r="H59" t="s">
        <v>17</v>
      </c>
      <c r="I59" t="s">
        <v>18</v>
      </c>
      <c r="J59" t="str">
        <f>"5144426662"</f>
        <v>5144426662</v>
      </c>
      <c r="K59" t="s">
        <v>295</v>
      </c>
      <c r="L59" t="s">
        <v>27</v>
      </c>
      <c r="M59" t="s">
        <v>21</v>
      </c>
    </row>
    <row r="60" spans="1:13" x14ac:dyDescent="0.35">
      <c r="A60" t="str">
        <f>"137-0506"</f>
        <v>137-0506</v>
      </c>
      <c r="B60" t="s">
        <v>296</v>
      </c>
      <c r="C60" t="str">
        <f>"12240"</f>
        <v>12240</v>
      </c>
      <c r="D60" t="str">
        <f>"4"</f>
        <v>4</v>
      </c>
      <c r="E60" t="s">
        <v>297</v>
      </c>
      <c r="F60" t="s">
        <v>24</v>
      </c>
      <c r="G60" t="s">
        <v>298</v>
      </c>
      <c r="H60" t="s">
        <v>17</v>
      </c>
      <c r="I60" t="s">
        <v>18</v>
      </c>
      <c r="J60" t="str">
        <f>"5142420212"</f>
        <v>5142420212</v>
      </c>
      <c r="K60" t="s">
        <v>299</v>
      </c>
      <c r="L60" t="s">
        <v>76</v>
      </c>
      <c r="M60" t="s">
        <v>21</v>
      </c>
    </row>
    <row r="61" spans="1:13" x14ac:dyDescent="0.35">
      <c r="A61" t="str">
        <f>"082-9195"</f>
        <v>082-9195</v>
      </c>
      <c r="B61" t="s">
        <v>300</v>
      </c>
      <c r="C61" t="str">
        <f>"12551"</f>
        <v>12551</v>
      </c>
      <c r="E61" t="s">
        <v>301</v>
      </c>
      <c r="F61" t="s">
        <v>24</v>
      </c>
      <c r="G61" t="s">
        <v>302</v>
      </c>
      <c r="H61" t="s">
        <v>17</v>
      </c>
      <c r="I61" t="s">
        <v>18</v>
      </c>
      <c r="J61" t="str">
        <f>"4389954960"</f>
        <v>4389954960</v>
      </c>
      <c r="K61" t="s">
        <v>303</v>
      </c>
      <c r="L61" t="s">
        <v>27</v>
      </c>
      <c r="M61" t="s">
        <v>21</v>
      </c>
    </row>
    <row r="62" spans="1:13" x14ac:dyDescent="0.35">
      <c r="A62" t="str">
        <f>"132-8344"</f>
        <v>132-8344</v>
      </c>
      <c r="B62" t="s">
        <v>308</v>
      </c>
      <c r="C62" t="str">
        <f>"186"</f>
        <v>186</v>
      </c>
      <c r="E62" t="s">
        <v>309</v>
      </c>
      <c r="F62" t="s">
        <v>310</v>
      </c>
      <c r="G62" t="s">
        <v>311</v>
      </c>
      <c r="H62" t="s">
        <v>17</v>
      </c>
      <c r="I62" t="s">
        <v>18</v>
      </c>
      <c r="J62" t="str">
        <f>"4383986555"</f>
        <v>4383986555</v>
      </c>
      <c r="K62" t="s">
        <v>312</v>
      </c>
      <c r="L62" t="s">
        <v>313</v>
      </c>
      <c r="M62" t="s">
        <v>21</v>
      </c>
    </row>
    <row r="63" spans="1:13" x14ac:dyDescent="0.35">
      <c r="A63" t="str">
        <f>"152-9742"</f>
        <v>152-9742</v>
      </c>
      <c r="B63" t="s">
        <v>315</v>
      </c>
      <c r="C63" t="str">
        <f>"99900"</f>
        <v>99900</v>
      </c>
      <c r="D63" t="str">
        <f>"872132"</f>
        <v>872132</v>
      </c>
      <c r="E63" t="s">
        <v>316</v>
      </c>
      <c r="F63" t="s">
        <v>40</v>
      </c>
      <c r="G63" t="s">
        <v>317</v>
      </c>
      <c r="H63" t="s">
        <v>17</v>
      </c>
      <c r="I63" t="s">
        <v>18</v>
      </c>
      <c r="J63" t="str">
        <f>"4385260601"</f>
        <v>4385260601</v>
      </c>
      <c r="K63" t="s">
        <v>318</v>
      </c>
      <c r="L63" t="s">
        <v>319</v>
      </c>
      <c r="M63" t="s">
        <v>21</v>
      </c>
    </row>
    <row r="64" spans="1:13" x14ac:dyDescent="0.35">
      <c r="A64" t="str">
        <f>"157-8282"</f>
        <v>157-8282</v>
      </c>
      <c r="B64" t="s">
        <v>320</v>
      </c>
      <c r="C64" t="str">
        <f>"3285"</f>
        <v>3285</v>
      </c>
      <c r="E64" t="s">
        <v>321</v>
      </c>
      <c r="F64" t="s">
        <v>322</v>
      </c>
      <c r="G64" t="s">
        <v>323</v>
      </c>
      <c r="H64" t="s">
        <v>17</v>
      </c>
      <c r="I64" t="s">
        <v>18</v>
      </c>
      <c r="J64" t="str">
        <f>"5149840304"</f>
        <v>5149840304</v>
      </c>
      <c r="K64" t="s">
        <v>324</v>
      </c>
      <c r="L64" t="s">
        <v>198</v>
      </c>
      <c r="M64" t="s">
        <v>21</v>
      </c>
    </row>
    <row r="65" spans="1:13" x14ac:dyDescent="0.35">
      <c r="A65" t="str">
        <f>"157-9006"</f>
        <v>157-9006</v>
      </c>
      <c r="B65" t="s">
        <v>325</v>
      </c>
      <c r="C65" t="str">
        <f>"11217"</f>
        <v>11217</v>
      </c>
      <c r="E65" t="s">
        <v>326</v>
      </c>
      <c r="F65" t="s">
        <v>24</v>
      </c>
      <c r="G65" t="s">
        <v>327</v>
      </c>
      <c r="H65" t="s">
        <v>17</v>
      </c>
      <c r="I65" t="s">
        <v>18</v>
      </c>
      <c r="J65" t="str">
        <f>"5142995221"</f>
        <v>5142995221</v>
      </c>
      <c r="K65" t="s">
        <v>328</v>
      </c>
      <c r="L65" t="s">
        <v>86</v>
      </c>
      <c r="M65" t="s">
        <v>21</v>
      </c>
    </row>
    <row r="66" spans="1:13" x14ac:dyDescent="0.35">
      <c r="A66" t="str">
        <f>"155-2994"</f>
        <v>155-2994</v>
      </c>
      <c r="B66" t="s">
        <v>329</v>
      </c>
      <c r="C66" t="str">
        <f>"740"</f>
        <v>740</v>
      </c>
      <c r="D66" t="str">
        <f>"1001"</f>
        <v>1001</v>
      </c>
      <c r="E66" t="s">
        <v>330</v>
      </c>
      <c r="F66" t="s">
        <v>24</v>
      </c>
      <c r="G66" t="s">
        <v>331</v>
      </c>
      <c r="H66" t="s">
        <v>17</v>
      </c>
      <c r="I66" t="s">
        <v>18</v>
      </c>
      <c r="J66" t="str">
        <f>"4383953829"</f>
        <v>4383953829</v>
      </c>
      <c r="K66" t="s">
        <v>332</v>
      </c>
      <c r="L66" t="s">
        <v>333</v>
      </c>
      <c r="M66" t="s">
        <v>21</v>
      </c>
    </row>
    <row r="67" spans="1:13" x14ac:dyDescent="0.35">
      <c r="A67" t="str">
        <f>"155-0414"</f>
        <v>155-0414</v>
      </c>
      <c r="B67" t="s">
        <v>334</v>
      </c>
      <c r="C67" t="str">
        <f>"5422"</f>
        <v>5422</v>
      </c>
      <c r="E67" t="s">
        <v>335</v>
      </c>
      <c r="F67" t="s">
        <v>24</v>
      </c>
      <c r="G67" t="s">
        <v>336</v>
      </c>
      <c r="H67" t="s">
        <v>17</v>
      </c>
      <c r="I67" t="s">
        <v>18</v>
      </c>
      <c r="J67" t="str">
        <f>"5145786764"</f>
        <v>5145786764</v>
      </c>
      <c r="K67" t="s">
        <v>337</v>
      </c>
      <c r="L67" t="s">
        <v>76</v>
      </c>
      <c r="M67" t="s">
        <v>21</v>
      </c>
    </row>
    <row r="68" spans="1:13" x14ac:dyDescent="0.35">
      <c r="A68" t="str">
        <f>"155-4975"</f>
        <v>155-4975</v>
      </c>
      <c r="B68" t="s">
        <v>338</v>
      </c>
      <c r="C68" t="str">
        <f>"6683"</f>
        <v>6683</v>
      </c>
      <c r="E68" t="s">
        <v>339</v>
      </c>
      <c r="F68" t="s">
        <v>24</v>
      </c>
      <c r="G68" t="s">
        <v>340</v>
      </c>
      <c r="H68" t="s">
        <v>17</v>
      </c>
      <c r="I68" t="s">
        <v>18</v>
      </c>
      <c r="J68" t="str">
        <f>"4384982301"</f>
        <v>4384982301</v>
      </c>
      <c r="K68" t="s">
        <v>341</v>
      </c>
      <c r="L68" t="s">
        <v>313</v>
      </c>
      <c r="M68" t="s">
        <v>21</v>
      </c>
    </row>
    <row r="69" spans="1:13" x14ac:dyDescent="0.35">
      <c r="A69" t="str">
        <f>"157-2659"</f>
        <v>157-2659</v>
      </c>
      <c r="B69" t="s">
        <v>342</v>
      </c>
      <c r="C69" t="str">
        <f>"1892"</f>
        <v>1892</v>
      </c>
      <c r="E69" t="s">
        <v>343</v>
      </c>
      <c r="F69" t="s">
        <v>24</v>
      </c>
      <c r="G69" t="s">
        <v>344</v>
      </c>
      <c r="H69" t="s">
        <v>17</v>
      </c>
      <c r="I69" t="s">
        <v>18</v>
      </c>
      <c r="J69" t="str">
        <f>"5145547198"</f>
        <v>5145547198</v>
      </c>
      <c r="K69" t="s">
        <v>345</v>
      </c>
      <c r="L69" t="s">
        <v>198</v>
      </c>
      <c r="M69" t="s">
        <v>21</v>
      </c>
    </row>
    <row r="70" spans="1:13" x14ac:dyDescent="0.35">
      <c r="A70" t="str">
        <f>"147-3220"</f>
        <v>147-3220</v>
      </c>
      <c r="B70" t="s">
        <v>346</v>
      </c>
      <c r="C70" t="str">
        <f>"9240"</f>
        <v>9240</v>
      </c>
      <c r="E70" t="s">
        <v>347</v>
      </c>
      <c r="F70" t="s">
        <v>24</v>
      </c>
      <c r="G70" t="s">
        <v>348</v>
      </c>
      <c r="H70" t="s">
        <v>17</v>
      </c>
      <c r="I70" t="s">
        <v>18</v>
      </c>
      <c r="J70" t="str">
        <f>"4383949565"</f>
        <v>4383949565</v>
      </c>
      <c r="K70" t="s">
        <v>349</v>
      </c>
      <c r="L70" t="s">
        <v>350</v>
      </c>
      <c r="M70" t="s">
        <v>21</v>
      </c>
    </row>
    <row r="71" spans="1:13" x14ac:dyDescent="0.35">
      <c r="A71" t="str">
        <f>"157-8144"</f>
        <v>157-8144</v>
      </c>
      <c r="B71" t="s">
        <v>351</v>
      </c>
      <c r="C71" t="str">
        <f>"1681"</f>
        <v>1681</v>
      </c>
      <c r="E71" t="s">
        <v>352</v>
      </c>
      <c r="F71" t="s">
        <v>32</v>
      </c>
      <c r="G71" t="s">
        <v>353</v>
      </c>
      <c r="H71" t="s">
        <v>17</v>
      </c>
      <c r="I71" t="s">
        <v>18</v>
      </c>
      <c r="J71" t="str">
        <f>"5146900421"</f>
        <v>5146900421</v>
      </c>
      <c r="K71" t="s">
        <v>354</v>
      </c>
      <c r="L71" t="s">
        <v>198</v>
      </c>
      <c r="M71" t="s">
        <v>21</v>
      </c>
    </row>
    <row r="72" spans="1:13" x14ac:dyDescent="0.35">
      <c r="A72" t="str">
        <f>"148-9234"</f>
        <v>148-9234</v>
      </c>
      <c r="B72" t="s">
        <v>355</v>
      </c>
      <c r="C72" t="str">
        <f>"6895"</f>
        <v>6895</v>
      </c>
      <c r="D72" t="str">
        <f>"6"</f>
        <v>6</v>
      </c>
      <c r="E72" t="s">
        <v>356</v>
      </c>
      <c r="F72" t="s">
        <v>24</v>
      </c>
      <c r="G72" t="s">
        <v>357</v>
      </c>
      <c r="H72" t="s">
        <v>17</v>
      </c>
      <c r="I72" t="s">
        <v>18</v>
      </c>
      <c r="J72" t="str">
        <f>"5148156459"</f>
        <v>5148156459</v>
      </c>
      <c r="K72" t="s">
        <v>358</v>
      </c>
      <c r="L72" t="s">
        <v>198</v>
      </c>
      <c r="M72" t="s">
        <v>21</v>
      </c>
    </row>
    <row r="73" spans="1:13" x14ac:dyDescent="0.35">
      <c r="A73" t="str">
        <f>"151-2461"</f>
        <v>151-2461</v>
      </c>
      <c r="B73" t="s">
        <v>359</v>
      </c>
      <c r="C73" t="str">
        <f>"957"</f>
        <v>957</v>
      </c>
      <c r="E73" t="s">
        <v>360</v>
      </c>
      <c r="F73" t="s">
        <v>24</v>
      </c>
      <c r="G73" t="s">
        <v>361</v>
      </c>
      <c r="H73" t="s">
        <v>17</v>
      </c>
      <c r="I73" t="s">
        <v>18</v>
      </c>
      <c r="J73" t="str">
        <f>"4384917797"</f>
        <v>4384917797</v>
      </c>
      <c r="K73" t="s">
        <v>362</v>
      </c>
      <c r="L73" t="s">
        <v>70</v>
      </c>
      <c r="M73" t="s">
        <v>21</v>
      </c>
    </row>
    <row r="74" spans="1:13" x14ac:dyDescent="0.35">
      <c r="A74" t="str">
        <f>"160-8163"</f>
        <v>160-8163</v>
      </c>
      <c r="B74" t="s">
        <v>363</v>
      </c>
      <c r="C74" t="str">
        <f>"6352"</f>
        <v>6352</v>
      </c>
      <c r="E74" t="s">
        <v>364</v>
      </c>
      <c r="F74" t="s">
        <v>24</v>
      </c>
      <c r="G74" t="s">
        <v>365</v>
      </c>
      <c r="H74" t="s">
        <v>17</v>
      </c>
      <c r="I74" t="s">
        <v>18</v>
      </c>
      <c r="J74" t="str">
        <f>"5144622531"</f>
        <v>5144622531</v>
      </c>
      <c r="K74" t="s">
        <v>366</v>
      </c>
      <c r="L74" t="s">
        <v>29</v>
      </c>
      <c r="M74" t="s">
        <v>21</v>
      </c>
    </row>
    <row r="75" spans="1:13" x14ac:dyDescent="0.35">
      <c r="A75" t="str">
        <f>"613-5156"</f>
        <v>613-5156</v>
      </c>
      <c r="B75" t="s">
        <v>367</v>
      </c>
      <c r="C75" t="str">
        <f>"6321"</f>
        <v>6321</v>
      </c>
      <c r="D75" t="str">
        <f>"5"</f>
        <v>5</v>
      </c>
      <c r="E75" t="s">
        <v>368</v>
      </c>
      <c r="F75" t="s">
        <v>24</v>
      </c>
      <c r="G75" t="s">
        <v>369</v>
      </c>
      <c r="H75" t="s">
        <v>17</v>
      </c>
      <c r="I75" t="s">
        <v>18</v>
      </c>
      <c r="J75" t="str">
        <f>"5145867223"</f>
        <v>5145867223</v>
      </c>
      <c r="K75" t="s">
        <v>370</v>
      </c>
      <c r="L75" t="s">
        <v>76</v>
      </c>
      <c r="M75" t="s">
        <v>21</v>
      </c>
    </row>
    <row r="76" spans="1:13" x14ac:dyDescent="0.35">
      <c r="A76" t="str">
        <f>"063-7226"</f>
        <v>063-7226</v>
      </c>
      <c r="B76" t="s">
        <v>371</v>
      </c>
      <c r="C76" t="str">
        <f>"7415"</f>
        <v>7415</v>
      </c>
      <c r="D76" t="str">
        <f>"2"</f>
        <v>2</v>
      </c>
      <c r="E76" t="s">
        <v>372</v>
      </c>
      <c r="F76" t="s">
        <v>24</v>
      </c>
      <c r="G76" t="s">
        <v>373</v>
      </c>
      <c r="H76" t="s">
        <v>17</v>
      </c>
      <c r="I76" t="s">
        <v>18</v>
      </c>
      <c r="J76" t="str">
        <f>"4388884555"</f>
        <v>4388884555</v>
      </c>
      <c r="K76" t="s">
        <v>374</v>
      </c>
      <c r="L76" t="s">
        <v>193</v>
      </c>
      <c r="M76" t="s">
        <v>21</v>
      </c>
    </row>
    <row r="77" spans="1:13" x14ac:dyDescent="0.35">
      <c r="A77" t="str">
        <f>"121-0077"</f>
        <v>121-0077</v>
      </c>
      <c r="B77" t="s">
        <v>375</v>
      </c>
      <c r="C77" t="str">
        <f>"3400"</f>
        <v>3400</v>
      </c>
      <c r="D77" t="str">
        <f>"206"</f>
        <v>206</v>
      </c>
      <c r="E77" t="s">
        <v>376</v>
      </c>
      <c r="F77" t="s">
        <v>24</v>
      </c>
      <c r="G77" t="s">
        <v>377</v>
      </c>
      <c r="H77" t="s">
        <v>17</v>
      </c>
      <c r="I77" t="s">
        <v>18</v>
      </c>
      <c r="J77" t="str">
        <f>"4388805584"</f>
        <v>4388805584</v>
      </c>
      <c r="K77" t="s">
        <v>378</v>
      </c>
      <c r="L77" t="s">
        <v>29</v>
      </c>
      <c r="M77" t="s">
        <v>21</v>
      </c>
    </row>
    <row r="78" spans="1:13" x14ac:dyDescent="0.35">
      <c r="A78" t="str">
        <f>"161-1216"</f>
        <v>161-1216</v>
      </c>
      <c r="B78" t="s">
        <v>379</v>
      </c>
      <c r="C78" t="str">
        <f>"3905"</f>
        <v>3905</v>
      </c>
      <c r="D78" t="str">
        <f>"14"</f>
        <v>14</v>
      </c>
      <c r="E78" t="s">
        <v>380</v>
      </c>
      <c r="F78" t="s">
        <v>24</v>
      </c>
      <c r="G78" t="s">
        <v>381</v>
      </c>
      <c r="H78" t="s">
        <v>17</v>
      </c>
      <c r="I78" t="s">
        <v>18</v>
      </c>
      <c r="J78" t="str">
        <f>"4389286378"</f>
        <v>4389286378</v>
      </c>
      <c r="K78" t="s">
        <v>382</v>
      </c>
      <c r="L78" t="s">
        <v>383</v>
      </c>
      <c r="M78" t="s">
        <v>21</v>
      </c>
    </row>
    <row r="79" spans="1:13" x14ac:dyDescent="0.35">
      <c r="A79" t="str">
        <f>"167-4585"</f>
        <v>167-4585</v>
      </c>
      <c r="B79" t="s">
        <v>384</v>
      </c>
      <c r="C79" t="str">
        <f>"6805"</f>
        <v>6805</v>
      </c>
      <c r="E79" t="s">
        <v>385</v>
      </c>
      <c r="F79" t="s">
        <v>24</v>
      </c>
      <c r="G79" t="s">
        <v>386</v>
      </c>
      <c r="H79" t="s">
        <v>17</v>
      </c>
      <c r="I79" t="s">
        <v>18</v>
      </c>
      <c r="J79" t="str">
        <f>"5147917509"</f>
        <v>5147917509</v>
      </c>
      <c r="K79" t="s">
        <v>387</v>
      </c>
      <c r="L79" t="s">
        <v>193</v>
      </c>
      <c r="M79" t="s">
        <v>21</v>
      </c>
    </row>
    <row r="80" spans="1:13" x14ac:dyDescent="0.35">
      <c r="A80" t="str">
        <f>"165-4324"</f>
        <v>165-4324</v>
      </c>
      <c r="B80" t="s">
        <v>388</v>
      </c>
      <c r="C80" t="str">
        <f>"6054"</f>
        <v>6054</v>
      </c>
      <c r="E80" t="s">
        <v>389</v>
      </c>
      <c r="F80" t="s">
        <v>24</v>
      </c>
      <c r="G80" t="s">
        <v>390</v>
      </c>
      <c r="H80" t="s">
        <v>17</v>
      </c>
      <c r="I80" t="s">
        <v>18</v>
      </c>
      <c r="J80" t="str">
        <f>"4383892605"</f>
        <v>4383892605</v>
      </c>
      <c r="K80" t="s">
        <v>391</v>
      </c>
      <c r="L80" t="s">
        <v>137</v>
      </c>
      <c r="M80" t="s">
        <v>21</v>
      </c>
    </row>
    <row r="81" spans="1:13" x14ac:dyDescent="0.35">
      <c r="A81" t="str">
        <f>"164-1360"</f>
        <v>164-1360</v>
      </c>
      <c r="B81" t="s">
        <v>392</v>
      </c>
      <c r="C81" t="str">
        <f>"1945"</f>
        <v>1945</v>
      </c>
      <c r="D81" t="str">
        <f>"4"</f>
        <v>4</v>
      </c>
      <c r="E81" t="s">
        <v>393</v>
      </c>
      <c r="F81" t="s">
        <v>24</v>
      </c>
      <c r="G81" t="s">
        <v>394</v>
      </c>
      <c r="H81" t="s">
        <v>17</v>
      </c>
      <c r="I81" t="s">
        <v>18</v>
      </c>
      <c r="J81" t="str">
        <f>"4383895147"</f>
        <v>4383895147</v>
      </c>
      <c r="K81" t="s">
        <v>395</v>
      </c>
      <c r="L81" t="s">
        <v>396</v>
      </c>
      <c r="M81" t="s">
        <v>21</v>
      </c>
    </row>
    <row r="82" spans="1:13" x14ac:dyDescent="0.35">
      <c r="A82" t="str">
        <f>"168-2966"</f>
        <v>168-2966</v>
      </c>
      <c r="B82" t="s">
        <v>397</v>
      </c>
      <c r="C82" t="str">
        <f>"5503"</f>
        <v>5503</v>
      </c>
      <c r="E82" t="s">
        <v>398</v>
      </c>
      <c r="F82" t="s">
        <v>24</v>
      </c>
      <c r="G82" t="s">
        <v>399</v>
      </c>
      <c r="H82" t="s">
        <v>17</v>
      </c>
      <c r="I82" t="s">
        <v>18</v>
      </c>
      <c r="J82" t="str">
        <f>"4385422633"</f>
        <v>4385422633</v>
      </c>
      <c r="K82" t="s">
        <v>400</v>
      </c>
      <c r="L82" t="s">
        <v>313</v>
      </c>
      <c r="M82" t="s">
        <v>21</v>
      </c>
    </row>
    <row r="83" spans="1:13" x14ac:dyDescent="0.35">
      <c r="A83" t="str">
        <f>"163-3800"</f>
        <v>163-3800</v>
      </c>
      <c r="B83" t="s">
        <v>401</v>
      </c>
      <c r="C83" t="str">
        <f>"1290"</f>
        <v>1290</v>
      </c>
      <c r="E83" t="s">
        <v>402</v>
      </c>
      <c r="F83" t="s">
        <v>24</v>
      </c>
      <c r="G83" t="s">
        <v>403</v>
      </c>
      <c r="H83" t="s">
        <v>17</v>
      </c>
      <c r="I83" t="s">
        <v>18</v>
      </c>
      <c r="J83" t="str">
        <f>"5146596199"</f>
        <v>5146596199</v>
      </c>
      <c r="K83" t="s">
        <v>404</v>
      </c>
      <c r="L83" t="s">
        <v>20</v>
      </c>
      <c r="M83" t="s">
        <v>21</v>
      </c>
    </row>
    <row r="84" spans="1:13" x14ac:dyDescent="0.35">
      <c r="A84" t="str">
        <f>"167-8530"</f>
        <v>167-8530</v>
      </c>
      <c r="B84" t="s">
        <v>405</v>
      </c>
      <c r="C84" t="str">
        <f>"4728"</f>
        <v>4728</v>
      </c>
      <c r="D84" t="str">
        <f>"2"</f>
        <v>2</v>
      </c>
      <c r="E84" t="s">
        <v>406</v>
      </c>
      <c r="F84" t="s">
        <v>24</v>
      </c>
      <c r="G84" t="s">
        <v>407</v>
      </c>
      <c r="H84" t="s">
        <v>17</v>
      </c>
      <c r="I84" t="s">
        <v>18</v>
      </c>
      <c r="J84" t="str">
        <f>"5145885690"</f>
        <v>5145885690</v>
      </c>
      <c r="K84" t="s">
        <v>408</v>
      </c>
      <c r="L84" t="s">
        <v>193</v>
      </c>
      <c r="M84" t="s">
        <v>21</v>
      </c>
    </row>
    <row r="85" spans="1:13" x14ac:dyDescent="0.35">
      <c r="A85" t="str">
        <f>"167-9953"</f>
        <v>167-9953</v>
      </c>
      <c r="B85" t="s">
        <v>409</v>
      </c>
      <c r="C85" t="str">
        <f>"8062"</f>
        <v>8062</v>
      </c>
      <c r="E85" t="s">
        <v>406</v>
      </c>
      <c r="F85" t="s">
        <v>24</v>
      </c>
      <c r="G85" t="s">
        <v>410</v>
      </c>
      <c r="H85" t="s">
        <v>17</v>
      </c>
      <c r="I85" t="s">
        <v>18</v>
      </c>
      <c r="J85" t="str">
        <f>"1514662529"</f>
        <v>1514662529</v>
      </c>
      <c r="K85" t="s">
        <v>411</v>
      </c>
      <c r="L85" t="s">
        <v>383</v>
      </c>
      <c r="M85" t="s">
        <v>21</v>
      </c>
    </row>
    <row r="86" spans="1:13" x14ac:dyDescent="0.35">
      <c r="A86" t="str">
        <f>"136-9759"</f>
        <v>136-9759</v>
      </c>
      <c r="B86" t="s">
        <v>412</v>
      </c>
      <c r="C86" t="str">
        <f>"1280"</f>
        <v>1280</v>
      </c>
      <c r="D86" t="str">
        <f>"18"</f>
        <v>18</v>
      </c>
      <c r="E86" t="s">
        <v>413</v>
      </c>
      <c r="F86" t="s">
        <v>24</v>
      </c>
      <c r="G86" t="s">
        <v>414</v>
      </c>
      <c r="H86" t="s">
        <v>17</v>
      </c>
      <c r="I86" t="s">
        <v>18</v>
      </c>
      <c r="J86" t="str">
        <f>"4382259136"</f>
        <v>4382259136</v>
      </c>
      <c r="K86" t="s">
        <v>415</v>
      </c>
      <c r="L86" t="s">
        <v>396</v>
      </c>
      <c r="M86" t="s">
        <v>21</v>
      </c>
    </row>
    <row r="87" spans="1:13" x14ac:dyDescent="0.35">
      <c r="A87" t="str">
        <f>"162-7874"</f>
        <v>162-7874</v>
      </c>
      <c r="B87" t="s">
        <v>416</v>
      </c>
      <c r="C87" t="str">
        <f>"6728"</f>
        <v>6728</v>
      </c>
      <c r="E87" t="s">
        <v>417</v>
      </c>
      <c r="F87" t="s">
        <v>24</v>
      </c>
      <c r="G87" t="s">
        <v>418</v>
      </c>
      <c r="H87" t="s">
        <v>17</v>
      </c>
      <c r="I87" t="s">
        <v>18</v>
      </c>
      <c r="J87" t="str">
        <f>"5148399402"</f>
        <v>5148399402</v>
      </c>
      <c r="K87" t="s">
        <v>419</v>
      </c>
      <c r="L87" t="s">
        <v>350</v>
      </c>
      <c r="M87" t="s">
        <v>21</v>
      </c>
    </row>
    <row r="88" spans="1:13" x14ac:dyDescent="0.35">
      <c r="A88" t="str">
        <f>"146-4330"</f>
        <v>146-4330</v>
      </c>
      <c r="B88" t="s">
        <v>420</v>
      </c>
      <c r="C88" t="str">
        <f>"3042"</f>
        <v>3042</v>
      </c>
      <c r="E88" t="s">
        <v>421</v>
      </c>
      <c r="F88" t="s">
        <v>24</v>
      </c>
      <c r="G88" t="s">
        <v>422</v>
      </c>
      <c r="H88" t="s">
        <v>17</v>
      </c>
      <c r="I88" t="s">
        <v>18</v>
      </c>
      <c r="J88" t="str">
        <f>"5144342554"</f>
        <v>5144342554</v>
      </c>
      <c r="K88" t="s">
        <v>423</v>
      </c>
      <c r="L88" t="s">
        <v>27</v>
      </c>
      <c r="M88" t="s">
        <v>21</v>
      </c>
    </row>
    <row r="89" spans="1:13" x14ac:dyDescent="0.35">
      <c r="A89" t="str">
        <f>"170-0722"</f>
        <v>170-0722</v>
      </c>
      <c r="B89" t="s">
        <v>424</v>
      </c>
      <c r="C89" t="str">
        <f>"600"</f>
        <v>600</v>
      </c>
      <c r="E89" t="s">
        <v>425</v>
      </c>
      <c r="F89" t="s">
        <v>24</v>
      </c>
      <c r="G89" t="s">
        <v>426</v>
      </c>
      <c r="H89" t="s">
        <v>17</v>
      </c>
      <c r="I89" t="s">
        <v>18</v>
      </c>
      <c r="J89" t="str">
        <f>"5145669502"</f>
        <v>5145669502</v>
      </c>
      <c r="K89" t="s">
        <v>427</v>
      </c>
      <c r="L89" t="s">
        <v>220</v>
      </c>
      <c r="M89" t="s">
        <v>21</v>
      </c>
    </row>
    <row r="90" spans="1:13" x14ac:dyDescent="0.35">
      <c r="A90" t="str">
        <f>"164-2871"</f>
        <v>164-2871</v>
      </c>
      <c r="B90" t="s">
        <v>428</v>
      </c>
      <c r="C90" t="str">
        <f>"67"</f>
        <v>67</v>
      </c>
      <c r="E90" t="s">
        <v>429</v>
      </c>
      <c r="F90" t="s">
        <v>430</v>
      </c>
      <c r="G90" t="s">
        <v>431</v>
      </c>
      <c r="H90" t="s">
        <v>17</v>
      </c>
      <c r="I90" t="s">
        <v>18</v>
      </c>
      <c r="J90" t="str">
        <f>"4388257242"</f>
        <v>4388257242</v>
      </c>
      <c r="K90" t="s">
        <v>432</v>
      </c>
      <c r="L90" t="s">
        <v>220</v>
      </c>
      <c r="M90" t="s">
        <v>21</v>
      </c>
    </row>
    <row r="91" spans="1:13" x14ac:dyDescent="0.35">
      <c r="A91" t="str">
        <f>"170-2534"</f>
        <v>170-2534</v>
      </c>
      <c r="B91" t="s">
        <v>433</v>
      </c>
      <c r="C91" t="str">
        <f>"1255"</f>
        <v>1255</v>
      </c>
      <c r="D91" t="str">
        <f>"230"</f>
        <v>230</v>
      </c>
      <c r="E91" t="s">
        <v>434</v>
      </c>
      <c r="F91" t="s">
        <v>435</v>
      </c>
      <c r="G91" t="s">
        <v>436</v>
      </c>
      <c r="H91" t="s">
        <v>17</v>
      </c>
      <c r="I91" t="s">
        <v>18</v>
      </c>
      <c r="J91" t="str">
        <f>"5143868733"</f>
        <v>5143868733</v>
      </c>
      <c r="K91" t="s">
        <v>437</v>
      </c>
      <c r="L91" t="s">
        <v>20</v>
      </c>
      <c r="M91" t="s">
        <v>21</v>
      </c>
    </row>
    <row r="92" spans="1:13" x14ac:dyDescent="0.35">
      <c r="A92" t="str">
        <f>"045-4579"</f>
        <v>045-4579</v>
      </c>
      <c r="B92" t="s">
        <v>441</v>
      </c>
      <c r="C92" t="str">
        <f>"1046"</f>
        <v>1046</v>
      </c>
      <c r="E92" t="s">
        <v>442</v>
      </c>
      <c r="F92" t="s">
        <v>54</v>
      </c>
      <c r="G92" t="s">
        <v>443</v>
      </c>
      <c r="H92" t="s">
        <v>17</v>
      </c>
      <c r="I92" t="s">
        <v>18</v>
      </c>
      <c r="J92" t="str">
        <f>"5142392949"</f>
        <v>5142392949</v>
      </c>
      <c r="K92" t="s">
        <v>444</v>
      </c>
      <c r="L92" t="s">
        <v>137</v>
      </c>
      <c r="M92" t="s">
        <v>21</v>
      </c>
    </row>
    <row r="93" spans="1:13" x14ac:dyDescent="0.35">
      <c r="A93" t="str">
        <f>"164-4375"</f>
        <v>164-4375</v>
      </c>
      <c r="B93" t="s">
        <v>446</v>
      </c>
      <c r="C93" t="str">
        <f>"5820"</f>
        <v>5820</v>
      </c>
      <c r="D93" t="str">
        <f>"7"</f>
        <v>7</v>
      </c>
      <c r="E93" t="s">
        <v>447</v>
      </c>
      <c r="F93" t="s">
        <v>24</v>
      </c>
      <c r="G93" t="s">
        <v>448</v>
      </c>
      <c r="H93" t="s">
        <v>17</v>
      </c>
      <c r="I93" t="s">
        <v>18</v>
      </c>
      <c r="J93" t="str">
        <f>"5142381723"</f>
        <v>5142381723</v>
      </c>
      <c r="K93" t="s">
        <v>449</v>
      </c>
      <c r="L93" t="s">
        <v>86</v>
      </c>
      <c r="M93" t="s">
        <v>21</v>
      </c>
    </row>
    <row r="94" spans="1:13" x14ac:dyDescent="0.35">
      <c r="A94" t="str">
        <f>"174-6553"</f>
        <v>174-6553</v>
      </c>
      <c r="B94" t="s">
        <v>450</v>
      </c>
      <c r="C94" t="str">
        <f>"59"</f>
        <v>59</v>
      </c>
      <c r="E94" t="s">
        <v>451</v>
      </c>
      <c r="F94" t="s">
        <v>32</v>
      </c>
      <c r="G94" t="s">
        <v>452</v>
      </c>
      <c r="H94" t="s">
        <v>17</v>
      </c>
      <c r="I94" t="s">
        <v>18</v>
      </c>
      <c r="J94" t="str">
        <f>"5149743530"</f>
        <v>5149743530</v>
      </c>
      <c r="K94" t="s">
        <v>453</v>
      </c>
      <c r="L94" t="s">
        <v>193</v>
      </c>
      <c r="M94" t="s">
        <v>21</v>
      </c>
    </row>
    <row r="95" spans="1:13" x14ac:dyDescent="0.35">
      <c r="A95" t="str">
        <f>"173-2032"</f>
        <v>173-2032</v>
      </c>
      <c r="B95" t="s">
        <v>454</v>
      </c>
      <c r="C95" t="str">
        <f>"4480"</f>
        <v>4480</v>
      </c>
      <c r="D95" t="str">
        <f>"22"</f>
        <v>22</v>
      </c>
      <c r="E95" t="s">
        <v>455</v>
      </c>
      <c r="F95" t="s">
        <v>24</v>
      </c>
      <c r="G95" t="s">
        <v>456</v>
      </c>
      <c r="H95" t="s">
        <v>17</v>
      </c>
      <c r="I95" t="s">
        <v>18</v>
      </c>
      <c r="J95" t="str">
        <f>"5147558133"</f>
        <v>5147558133</v>
      </c>
      <c r="K95" t="s">
        <v>457</v>
      </c>
      <c r="L95" t="s">
        <v>132</v>
      </c>
      <c r="M95" t="s">
        <v>21</v>
      </c>
    </row>
    <row r="96" spans="1:13" x14ac:dyDescent="0.35">
      <c r="A96" t="str">
        <f>"155-6377"</f>
        <v>155-6377</v>
      </c>
      <c r="B96" t="s">
        <v>458</v>
      </c>
      <c r="C96" t="str">
        <f>"640"</f>
        <v>640</v>
      </c>
      <c r="D96" t="str">
        <f>"7"</f>
        <v>7</v>
      </c>
      <c r="E96" t="s">
        <v>459</v>
      </c>
      <c r="F96" t="s">
        <v>54</v>
      </c>
      <c r="G96" t="s">
        <v>460</v>
      </c>
      <c r="H96" t="s">
        <v>17</v>
      </c>
      <c r="I96" t="s">
        <v>18</v>
      </c>
      <c r="J96" t="str">
        <f>"4389339670"</f>
        <v>4389339670</v>
      </c>
      <c r="K96" t="s">
        <v>461</v>
      </c>
      <c r="L96" t="s">
        <v>20</v>
      </c>
      <c r="M96" t="s">
        <v>21</v>
      </c>
    </row>
    <row r="97" spans="1:13" x14ac:dyDescent="0.35">
      <c r="A97" t="str">
        <f>"157-4623"</f>
        <v>157-4623</v>
      </c>
      <c r="B97" t="s">
        <v>462</v>
      </c>
      <c r="C97" t="str">
        <f>"5030"</f>
        <v>5030</v>
      </c>
      <c r="D97" t="str">
        <f>"5030"</f>
        <v>5030</v>
      </c>
      <c r="E97" t="s">
        <v>463</v>
      </c>
      <c r="F97" t="s">
        <v>24</v>
      </c>
      <c r="G97" t="s">
        <v>464</v>
      </c>
      <c r="H97" t="s">
        <v>17</v>
      </c>
      <c r="I97" t="s">
        <v>18</v>
      </c>
      <c r="J97" t="str">
        <f>"5147069117"</f>
        <v>5147069117</v>
      </c>
      <c r="K97" t="s">
        <v>465</v>
      </c>
      <c r="L97" t="s">
        <v>466</v>
      </c>
      <c r="M97" t="s">
        <v>21</v>
      </c>
    </row>
    <row r="98" spans="1:13" x14ac:dyDescent="0.35">
      <c r="A98" t="str">
        <f>"174-8781"</f>
        <v>174-8781</v>
      </c>
      <c r="B98" t="s">
        <v>467</v>
      </c>
      <c r="C98" t="str">
        <f>"2177"</f>
        <v>2177</v>
      </c>
      <c r="E98" t="s">
        <v>468</v>
      </c>
      <c r="F98" t="s">
        <v>24</v>
      </c>
      <c r="G98" t="s">
        <v>469</v>
      </c>
      <c r="H98" t="s">
        <v>17</v>
      </c>
      <c r="I98" t="s">
        <v>18</v>
      </c>
      <c r="J98" t="str">
        <f>"8194306340"</f>
        <v>8194306340</v>
      </c>
      <c r="K98" t="s">
        <v>470</v>
      </c>
      <c r="L98" t="s">
        <v>39</v>
      </c>
      <c r="M98" t="s">
        <v>21</v>
      </c>
    </row>
    <row r="99" spans="1:13" x14ac:dyDescent="0.35">
      <c r="A99" t="str">
        <f>"146-7534"</f>
        <v>146-7534</v>
      </c>
      <c r="B99" t="s">
        <v>471</v>
      </c>
      <c r="C99" t="str">
        <f>"7595"</f>
        <v>7595</v>
      </c>
      <c r="D99" t="str">
        <f>"16"</f>
        <v>16</v>
      </c>
      <c r="E99" t="s">
        <v>472</v>
      </c>
      <c r="F99" t="s">
        <v>473</v>
      </c>
      <c r="G99" t="s">
        <v>474</v>
      </c>
      <c r="H99" t="s">
        <v>17</v>
      </c>
      <c r="I99" t="s">
        <v>18</v>
      </c>
      <c r="J99" t="str">
        <f>"4383984973"</f>
        <v>4383984973</v>
      </c>
      <c r="K99" t="s">
        <v>475</v>
      </c>
      <c r="L99" t="s">
        <v>39</v>
      </c>
      <c r="M99" t="s">
        <v>21</v>
      </c>
    </row>
    <row r="100" spans="1:13" x14ac:dyDescent="0.35">
      <c r="A100" t="str">
        <f>"172-2546"</f>
        <v>172-2546</v>
      </c>
      <c r="B100" t="s">
        <v>476</v>
      </c>
      <c r="C100" t="str">
        <f>"70"</f>
        <v>70</v>
      </c>
      <c r="E100" t="s">
        <v>477</v>
      </c>
      <c r="F100" t="s">
        <v>24</v>
      </c>
      <c r="G100" t="s">
        <v>478</v>
      </c>
      <c r="H100" t="s">
        <v>17</v>
      </c>
      <c r="I100" t="s">
        <v>18</v>
      </c>
      <c r="J100" t="str">
        <f>"4389885592"</f>
        <v>4389885592</v>
      </c>
      <c r="K100" t="s">
        <v>479</v>
      </c>
      <c r="L100" t="s">
        <v>319</v>
      </c>
      <c r="M100" t="s">
        <v>21</v>
      </c>
    </row>
    <row r="101" spans="1:13" x14ac:dyDescent="0.35">
      <c r="A101" t="str">
        <f>"174-2497"</f>
        <v>174-2497</v>
      </c>
      <c r="B101" t="s">
        <v>480</v>
      </c>
      <c r="C101" t="str">
        <f>"1581"</f>
        <v>1581</v>
      </c>
      <c r="E101" t="s">
        <v>481</v>
      </c>
      <c r="F101" t="s">
        <v>430</v>
      </c>
      <c r="G101" t="s">
        <v>482</v>
      </c>
      <c r="H101" t="s">
        <v>17</v>
      </c>
      <c r="I101" t="s">
        <v>18</v>
      </c>
      <c r="J101" t="str">
        <f>"5147083245"</f>
        <v>5147083245</v>
      </c>
      <c r="K101" t="s">
        <v>483</v>
      </c>
      <c r="L101" t="s">
        <v>39</v>
      </c>
      <c r="M101" t="s">
        <v>21</v>
      </c>
    </row>
    <row r="102" spans="1:13" x14ac:dyDescent="0.35">
      <c r="A102" t="str">
        <f>"175-0419"</f>
        <v>175-0419</v>
      </c>
      <c r="B102" t="s">
        <v>484</v>
      </c>
      <c r="C102" t="str">
        <f>"9230"</f>
        <v>9230</v>
      </c>
      <c r="E102" t="s">
        <v>485</v>
      </c>
      <c r="F102" t="s">
        <v>24</v>
      </c>
      <c r="G102" t="s">
        <v>486</v>
      </c>
      <c r="H102" t="s">
        <v>17</v>
      </c>
      <c r="I102" t="s">
        <v>18</v>
      </c>
      <c r="J102" t="str">
        <f>"4383649777"</f>
        <v>4383649777</v>
      </c>
      <c r="K102" t="s">
        <v>487</v>
      </c>
      <c r="L102" t="s">
        <v>27</v>
      </c>
      <c r="M102" t="s">
        <v>21</v>
      </c>
    </row>
    <row r="103" spans="1:13" x14ac:dyDescent="0.35">
      <c r="A103" t="str">
        <f>"955-2276"</f>
        <v>955-2276</v>
      </c>
      <c r="B103" t="s">
        <v>488</v>
      </c>
      <c r="C103" t="str">
        <f>"2033"</f>
        <v>2033</v>
      </c>
      <c r="E103" t="s">
        <v>489</v>
      </c>
      <c r="F103" t="s">
        <v>24</v>
      </c>
      <c r="G103" t="s">
        <v>490</v>
      </c>
      <c r="H103" t="s">
        <v>17</v>
      </c>
      <c r="I103" t="s">
        <v>18</v>
      </c>
      <c r="J103" t="str">
        <f>"4383518169"</f>
        <v>4383518169</v>
      </c>
      <c r="K103" t="s">
        <v>491</v>
      </c>
      <c r="L103" t="s">
        <v>20</v>
      </c>
      <c r="M103" t="s">
        <v>21</v>
      </c>
    </row>
    <row r="104" spans="1:13" x14ac:dyDescent="0.35">
      <c r="A104" t="str">
        <f>"179-3860"</f>
        <v>179-3860</v>
      </c>
      <c r="B104" t="s">
        <v>495</v>
      </c>
      <c r="C104" t="str">
        <f>"5146"</f>
        <v>5146</v>
      </c>
      <c r="E104" t="s">
        <v>496</v>
      </c>
      <c r="F104" t="s">
        <v>24</v>
      </c>
      <c r="G104" t="s">
        <v>497</v>
      </c>
      <c r="H104" t="s">
        <v>17</v>
      </c>
      <c r="I104" t="s">
        <v>18</v>
      </c>
      <c r="J104" t="str">
        <f>"4384969850"</f>
        <v>4384969850</v>
      </c>
      <c r="K104" t="s">
        <v>498</v>
      </c>
      <c r="L104" t="s">
        <v>27</v>
      </c>
      <c r="M104" t="s">
        <v>21</v>
      </c>
    </row>
    <row r="105" spans="1:13" x14ac:dyDescent="0.35">
      <c r="A105" t="str">
        <f>"170-6975"</f>
        <v>170-6975</v>
      </c>
      <c r="B105" t="s">
        <v>499</v>
      </c>
      <c r="C105" t="str">
        <f>"11188"</f>
        <v>11188</v>
      </c>
      <c r="E105" t="s">
        <v>500</v>
      </c>
      <c r="F105" t="s">
        <v>40</v>
      </c>
      <c r="G105" t="s">
        <v>501</v>
      </c>
      <c r="H105" t="s">
        <v>17</v>
      </c>
      <c r="I105" t="s">
        <v>18</v>
      </c>
      <c r="J105" t="str">
        <f>"5148048250"</f>
        <v>5148048250</v>
      </c>
      <c r="K105" t="s">
        <v>502</v>
      </c>
      <c r="L105" t="s">
        <v>168</v>
      </c>
      <c r="M105" t="s">
        <v>21</v>
      </c>
    </row>
    <row r="106" spans="1:13" x14ac:dyDescent="0.35">
      <c r="A106" t="str">
        <f>"156-5224"</f>
        <v>156-5224</v>
      </c>
      <c r="B106" t="s">
        <v>503</v>
      </c>
      <c r="C106" t="str">
        <f>"11888"</f>
        <v>11888</v>
      </c>
      <c r="E106" t="s">
        <v>504</v>
      </c>
      <c r="F106" t="s">
        <v>24</v>
      </c>
      <c r="G106" t="s">
        <v>505</v>
      </c>
      <c r="H106" t="s">
        <v>17</v>
      </c>
      <c r="I106" t="s">
        <v>18</v>
      </c>
      <c r="J106" t="str">
        <f>"4385063603"</f>
        <v>4385063603</v>
      </c>
      <c r="K106" t="s">
        <v>506</v>
      </c>
      <c r="L106" t="s">
        <v>27</v>
      </c>
      <c r="M106" t="s">
        <v>21</v>
      </c>
    </row>
    <row r="107" spans="1:13" x14ac:dyDescent="0.35">
      <c r="A107" t="str">
        <f>"180-9576"</f>
        <v>180-9576</v>
      </c>
      <c r="B107" t="s">
        <v>509</v>
      </c>
      <c r="C107" t="str">
        <f>"3741"</f>
        <v>3741</v>
      </c>
      <c r="E107" t="s">
        <v>510</v>
      </c>
      <c r="F107" t="s">
        <v>24</v>
      </c>
      <c r="G107" t="s">
        <v>511</v>
      </c>
      <c r="H107" t="s">
        <v>17</v>
      </c>
      <c r="I107" t="s">
        <v>18</v>
      </c>
      <c r="J107" t="str">
        <f>"4389696179"</f>
        <v>4389696179</v>
      </c>
      <c r="K107" t="s">
        <v>512</v>
      </c>
      <c r="L107" t="s">
        <v>198</v>
      </c>
      <c r="M107" t="s">
        <v>21</v>
      </c>
    </row>
    <row r="108" spans="1:13" x14ac:dyDescent="0.35">
      <c r="A108" t="str">
        <f>"154-4809"</f>
        <v>154-4809</v>
      </c>
      <c r="B108" t="s">
        <v>513</v>
      </c>
      <c r="C108" t="str">
        <f>"655"</f>
        <v>655</v>
      </c>
      <c r="E108" t="s">
        <v>514</v>
      </c>
      <c r="F108" t="s">
        <v>54</v>
      </c>
      <c r="G108" t="s">
        <v>515</v>
      </c>
      <c r="H108" t="s">
        <v>17</v>
      </c>
      <c r="I108" t="s">
        <v>18</v>
      </c>
      <c r="J108" t="str">
        <f>"5142075592"</f>
        <v>5142075592</v>
      </c>
      <c r="K108" t="s">
        <v>516</v>
      </c>
      <c r="L108" t="s">
        <v>517</v>
      </c>
      <c r="M108" t="s">
        <v>21</v>
      </c>
    </row>
    <row r="109" spans="1:13" x14ac:dyDescent="0.35">
      <c r="A109" t="str">
        <f>"162-1863"</f>
        <v>162-1863</v>
      </c>
      <c r="B109" t="s">
        <v>518</v>
      </c>
      <c r="C109" t="str">
        <f>"12301"</f>
        <v>12301</v>
      </c>
      <c r="E109" t="s">
        <v>519</v>
      </c>
      <c r="F109" t="s">
        <v>24</v>
      </c>
      <c r="G109" t="s">
        <v>520</v>
      </c>
      <c r="H109" t="s">
        <v>17</v>
      </c>
      <c r="I109" t="s">
        <v>18</v>
      </c>
      <c r="J109" t="str">
        <f>"5142402457"</f>
        <v>5142402457</v>
      </c>
      <c r="K109" t="s">
        <v>521</v>
      </c>
      <c r="L109" t="s">
        <v>313</v>
      </c>
      <c r="M109" t="s">
        <v>21</v>
      </c>
    </row>
    <row r="110" spans="1:13" x14ac:dyDescent="0.35">
      <c r="A110" t="str">
        <f>"160-2963"</f>
        <v>160-2963</v>
      </c>
      <c r="B110" t="s">
        <v>522</v>
      </c>
      <c r="C110" t="str">
        <f>"8545"</f>
        <v>8545</v>
      </c>
      <c r="D110" t="str">
        <f>"512"</f>
        <v>512</v>
      </c>
      <c r="E110" t="s">
        <v>523</v>
      </c>
      <c r="F110" t="s">
        <v>24</v>
      </c>
      <c r="G110" t="s">
        <v>524</v>
      </c>
      <c r="H110" t="s">
        <v>17</v>
      </c>
      <c r="I110" t="s">
        <v>18</v>
      </c>
      <c r="J110" t="str">
        <f>"5148855492"</f>
        <v>5148855492</v>
      </c>
      <c r="K110" t="s">
        <v>525</v>
      </c>
      <c r="L110" t="s">
        <v>350</v>
      </c>
      <c r="M110" t="s">
        <v>21</v>
      </c>
    </row>
    <row r="111" spans="1:13" x14ac:dyDescent="0.35">
      <c r="A111" t="str">
        <f>"181-8587"</f>
        <v>181-8587</v>
      </c>
      <c r="B111" t="s">
        <v>526</v>
      </c>
      <c r="C111" t="str">
        <f>"6689"</f>
        <v>6689</v>
      </c>
      <c r="E111" t="s">
        <v>527</v>
      </c>
      <c r="F111" t="s">
        <v>24</v>
      </c>
      <c r="G111" t="s">
        <v>528</v>
      </c>
      <c r="H111" t="s">
        <v>17</v>
      </c>
      <c r="I111" t="s">
        <v>18</v>
      </c>
      <c r="J111" t="str">
        <f>"4385226105"</f>
        <v>4385226105</v>
      </c>
      <c r="K111" t="s">
        <v>529</v>
      </c>
      <c r="L111" t="s">
        <v>29</v>
      </c>
      <c r="M111" t="s">
        <v>21</v>
      </c>
    </row>
    <row r="112" spans="1:13" x14ac:dyDescent="0.35">
      <c r="A112" t="str">
        <f>"167-1211"</f>
        <v>167-1211</v>
      </c>
      <c r="B112" t="s">
        <v>530</v>
      </c>
      <c r="C112" t="str">
        <f>"2609"</f>
        <v>2609</v>
      </c>
      <c r="D112" t="str">
        <f>"1"</f>
        <v>1</v>
      </c>
      <c r="E112" t="s">
        <v>531</v>
      </c>
      <c r="F112" t="s">
        <v>24</v>
      </c>
      <c r="G112" t="s">
        <v>532</v>
      </c>
      <c r="H112" t="s">
        <v>17</v>
      </c>
      <c r="I112" t="s">
        <v>18</v>
      </c>
      <c r="J112" t="str">
        <f>"5142655139"</f>
        <v>5142655139</v>
      </c>
      <c r="K112" t="s">
        <v>533</v>
      </c>
      <c r="L112" t="s">
        <v>534</v>
      </c>
      <c r="M112" t="s">
        <v>21</v>
      </c>
    </row>
    <row r="113" spans="1:13" x14ac:dyDescent="0.35">
      <c r="A113" t="str">
        <f>"180-8455"</f>
        <v>180-8455</v>
      </c>
      <c r="B113" t="s">
        <v>535</v>
      </c>
      <c r="C113" t="str">
        <f>"9050"</f>
        <v>9050</v>
      </c>
      <c r="E113" t="s">
        <v>536</v>
      </c>
      <c r="F113" t="s">
        <v>24</v>
      </c>
      <c r="G113" t="s">
        <v>537</v>
      </c>
      <c r="H113" t="s">
        <v>17</v>
      </c>
      <c r="I113" t="s">
        <v>18</v>
      </c>
      <c r="J113" t="str">
        <f>"5149786260"</f>
        <v>5149786260</v>
      </c>
      <c r="K113" t="s">
        <v>538</v>
      </c>
      <c r="L113" t="s">
        <v>220</v>
      </c>
      <c r="M113" t="s">
        <v>21</v>
      </c>
    </row>
    <row r="114" spans="1:13" x14ac:dyDescent="0.35">
      <c r="A114" t="str">
        <f>"181-5195"</f>
        <v>181-5195</v>
      </c>
      <c r="B114" t="s">
        <v>539</v>
      </c>
      <c r="C114" t="str">
        <f>"1745"</f>
        <v>1745</v>
      </c>
      <c r="D114" t="str">
        <f>"501"</f>
        <v>501</v>
      </c>
      <c r="E114" t="s">
        <v>540</v>
      </c>
      <c r="F114" t="s">
        <v>24</v>
      </c>
      <c r="G114" t="s">
        <v>541</v>
      </c>
      <c r="H114" t="s">
        <v>17</v>
      </c>
      <c r="I114" t="s">
        <v>18</v>
      </c>
      <c r="J114" t="str">
        <f>"5142461510"</f>
        <v>5142461510</v>
      </c>
      <c r="K114" t="s">
        <v>542</v>
      </c>
      <c r="L114" t="s">
        <v>39</v>
      </c>
      <c r="M114" t="s">
        <v>21</v>
      </c>
    </row>
    <row r="115" spans="1:13" x14ac:dyDescent="0.35">
      <c r="A115" t="str">
        <f>"181-7174"</f>
        <v>181-7174</v>
      </c>
      <c r="B115" t="s">
        <v>543</v>
      </c>
      <c r="C115" t="str">
        <f>"1580"</f>
        <v>1580</v>
      </c>
      <c r="D115" t="str">
        <f>"6"</f>
        <v>6</v>
      </c>
      <c r="E115" t="s">
        <v>544</v>
      </c>
      <c r="F115" t="s">
        <v>24</v>
      </c>
      <c r="G115" t="s">
        <v>545</v>
      </c>
      <c r="H115" t="s">
        <v>17</v>
      </c>
      <c r="I115" t="s">
        <v>18</v>
      </c>
      <c r="J115" t="str">
        <f>"4385226073"</f>
        <v>4385226073</v>
      </c>
      <c r="K115" t="s">
        <v>546</v>
      </c>
      <c r="L115" t="s">
        <v>27</v>
      </c>
      <c r="M115" t="s">
        <v>21</v>
      </c>
    </row>
    <row r="116" spans="1:13" x14ac:dyDescent="0.35">
      <c r="A116" t="str">
        <f>"181-7238"</f>
        <v>181-7238</v>
      </c>
      <c r="B116" t="s">
        <v>547</v>
      </c>
      <c r="C116" t="str">
        <f>"6311"</f>
        <v>6311</v>
      </c>
      <c r="D116" t="str">
        <f>"7"</f>
        <v>7</v>
      </c>
      <c r="E116" t="s">
        <v>548</v>
      </c>
      <c r="F116" t="s">
        <v>40</v>
      </c>
      <c r="G116" t="s">
        <v>549</v>
      </c>
      <c r="H116" t="s">
        <v>17</v>
      </c>
      <c r="I116" t="s">
        <v>18</v>
      </c>
      <c r="J116" t="str">
        <f>"5149156997"</f>
        <v>5149156997</v>
      </c>
      <c r="K116" t="s">
        <v>550</v>
      </c>
      <c r="L116" t="s">
        <v>168</v>
      </c>
      <c r="M116" t="s">
        <v>21</v>
      </c>
    </row>
    <row r="117" spans="1:13" x14ac:dyDescent="0.35">
      <c r="A117" t="str">
        <f>"154-7458"</f>
        <v>154-7458</v>
      </c>
      <c r="B117" t="s">
        <v>551</v>
      </c>
      <c r="C117" t="str">
        <f>"4470"</f>
        <v>4470</v>
      </c>
      <c r="D117" t="str">
        <f>"12"</f>
        <v>12</v>
      </c>
      <c r="E117" t="s">
        <v>455</v>
      </c>
      <c r="F117" t="s">
        <v>24</v>
      </c>
      <c r="G117" t="s">
        <v>456</v>
      </c>
      <c r="H117" t="s">
        <v>17</v>
      </c>
      <c r="I117" t="s">
        <v>18</v>
      </c>
      <c r="J117" t="str">
        <f>"5148822747"</f>
        <v>5148822747</v>
      </c>
      <c r="K117" t="s">
        <v>552</v>
      </c>
      <c r="L117" t="s">
        <v>313</v>
      </c>
      <c r="M117" t="s">
        <v>21</v>
      </c>
    </row>
    <row r="118" spans="1:13" x14ac:dyDescent="0.35">
      <c r="A118" t="str">
        <f>"107-3125"</f>
        <v>107-3125</v>
      </c>
      <c r="B118" t="s">
        <v>555</v>
      </c>
      <c r="C118" t="str">
        <f>"6634"</f>
        <v>6634</v>
      </c>
      <c r="E118" t="s">
        <v>556</v>
      </c>
      <c r="F118" t="s">
        <v>24</v>
      </c>
      <c r="G118" t="s">
        <v>557</v>
      </c>
      <c r="H118" t="s">
        <v>17</v>
      </c>
      <c r="I118" t="s">
        <v>18</v>
      </c>
      <c r="J118" t="str">
        <f>"5145613227"</f>
        <v>5145613227</v>
      </c>
      <c r="K118" t="s">
        <v>558</v>
      </c>
      <c r="L118" t="s">
        <v>27</v>
      </c>
      <c r="M118" t="s">
        <v>21</v>
      </c>
    </row>
    <row r="119" spans="1:13" x14ac:dyDescent="0.35">
      <c r="A119" t="str">
        <f>"182-6355"</f>
        <v>182-6355</v>
      </c>
      <c r="B119" t="s">
        <v>559</v>
      </c>
      <c r="C119" t="str">
        <f>"6370"</f>
        <v>6370</v>
      </c>
      <c r="E119" t="s">
        <v>560</v>
      </c>
      <c r="F119" t="s">
        <v>54</v>
      </c>
      <c r="G119" t="s">
        <v>561</v>
      </c>
      <c r="H119" t="s">
        <v>17</v>
      </c>
      <c r="I119" t="s">
        <v>18</v>
      </c>
      <c r="J119" t="str">
        <f>"5144643143"</f>
        <v>5144643143</v>
      </c>
      <c r="K119" t="s">
        <v>562</v>
      </c>
      <c r="L119" t="s">
        <v>103</v>
      </c>
      <c r="M119" t="s">
        <v>21</v>
      </c>
    </row>
    <row r="120" spans="1:13" x14ac:dyDescent="0.35">
      <c r="A120" t="str">
        <f>"184-1064"</f>
        <v>184-1064</v>
      </c>
      <c r="B120" t="s">
        <v>564</v>
      </c>
      <c r="C120" t="str">
        <f>"1099"</f>
        <v>1099</v>
      </c>
      <c r="E120" t="s">
        <v>565</v>
      </c>
      <c r="F120" t="s">
        <v>566</v>
      </c>
      <c r="G120" t="s">
        <v>567</v>
      </c>
      <c r="H120" t="s">
        <v>17</v>
      </c>
      <c r="I120" t="s">
        <v>18</v>
      </c>
      <c r="J120" t="str">
        <f>"4508077014"</f>
        <v>4508077014</v>
      </c>
      <c r="K120" t="s">
        <v>568</v>
      </c>
      <c r="L120" t="s">
        <v>86</v>
      </c>
      <c r="M120" t="s">
        <v>21</v>
      </c>
    </row>
    <row r="121" spans="1:13" x14ac:dyDescent="0.35">
      <c r="A121" t="str">
        <f>"174-1057"</f>
        <v>174-1057</v>
      </c>
      <c r="B121" t="s">
        <v>569</v>
      </c>
      <c r="C121" t="str">
        <f>"8451"</f>
        <v>8451</v>
      </c>
      <c r="D121" t="str">
        <f>"2"</f>
        <v>2</v>
      </c>
      <c r="E121" t="s">
        <v>67</v>
      </c>
      <c r="F121" t="s">
        <v>24</v>
      </c>
      <c r="G121" t="s">
        <v>570</v>
      </c>
      <c r="H121" t="s">
        <v>17</v>
      </c>
      <c r="I121" t="s">
        <v>18</v>
      </c>
      <c r="J121" t="str">
        <f>"5145677560"</f>
        <v>5145677560</v>
      </c>
      <c r="K121" t="s">
        <v>571</v>
      </c>
      <c r="L121" t="s">
        <v>203</v>
      </c>
      <c r="M121" t="s">
        <v>21</v>
      </c>
    </row>
    <row r="122" spans="1:13" x14ac:dyDescent="0.35">
      <c r="A122" t="str">
        <f>"177-1604"</f>
        <v>177-1604</v>
      </c>
      <c r="B122" t="s">
        <v>572</v>
      </c>
      <c r="C122" t="str">
        <f>"4940"</f>
        <v>4940</v>
      </c>
      <c r="E122" t="s">
        <v>573</v>
      </c>
      <c r="F122" t="s">
        <v>24</v>
      </c>
      <c r="G122" t="s">
        <v>574</v>
      </c>
      <c r="H122" t="s">
        <v>17</v>
      </c>
      <c r="I122" t="s">
        <v>18</v>
      </c>
      <c r="J122" t="str">
        <f>"4382254387"</f>
        <v>4382254387</v>
      </c>
      <c r="K122" t="s">
        <v>575</v>
      </c>
      <c r="L122" t="s">
        <v>86</v>
      </c>
      <c r="M122" t="s">
        <v>21</v>
      </c>
    </row>
    <row r="123" spans="1:13" x14ac:dyDescent="0.35">
      <c r="A123" t="str">
        <f>"177-1648"</f>
        <v>177-1648</v>
      </c>
      <c r="B123" t="s">
        <v>576</v>
      </c>
      <c r="C123" t="str">
        <f>"188"</f>
        <v>188</v>
      </c>
      <c r="E123" t="s">
        <v>577</v>
      </c>
      <c r="F123" t="s">
        <v>54</v>
      </c>
      <c r="G123" t="s">
        <v>578</v>
      </c>
      <c r="H123" t="s">
        <v>17</v>
      </c>
      <c r="I123" t="s">
        <v>18</v>
      </c>
      <c r="J123" t="str">
        <f>"5145787329"</f>
        <v>5145787329</v>
      </c>
      <c r="K123" t="s">
        <v>579</v>
      </c>
      <c r="L123" t="s">
        <v>76</v>
      </c>
      <c r="M123" t="s">
        <v>21</v>
      </c>
    </row>
    <row r="124" spans="1:13" x14ac:dyDescent="0.35">
      <c r="A124" t="str">
        <f>"183-8540"</f>
        <v>183-8540</v>
      </c>
      <c r="B124" t="s">
        <v>580</v>
      </c>
      <c r="C124" t="str">
        <f>"2200"</f>
        <v>2200</v>
      </c>
      <c r="D124" t="str">
        <f>"4"</f>
        <v>4</v>
      </c>
      <c r="E124" t="s">
        <v>581</v>
      </c>
      <c r="F124" t="s">
        <v>24</v>
      </c>
      <c r="G124" t="s">
        <v>582</v>
      </c>
      <c r="H124" t="s">
        <v>17</v>
      </c>
      <c r="I124" t="s">
        <v>18</v>
      </c>
      <c r="J124" t="str">
        <f>"5146792875"</f>
        <v>5146792875</v>
      </c>
      <c r="K124" t="s">
        <v>583</v>
      </c>
      <c r="L124" t="s">
        <v>76</v>
      </c>
      <c r="M124" t="s">
        <v>21</v>
      </c>
    </row>
    <row r="125" spans="1:13" x14ac:dyDescent="0.35">
      <c r="A125" t="str">
        <f>"184-6197"</f>
        <v>184-6197</v>
      </c>
      <c r="B125" t="s">
        <v>584</v>
      </c>
      <c r="C125" t="str">
        <f>"5458 A"</f>
        <v>5458 A</v>
      </c>
      <c r="E125" t="s">
        <v>585</v>
      </c>
      <c r="F125" t="s">
        <v>24</v>
      </c>
      <c r="G125" t="s">
        <v>586</v>
      </c>
      <c r="H125" t="s">
        <v>17</v>
      </c>
      <c r="I125" t="s">
        <v>18</v>
      </c>
      <c r="J125" t="str">
        <f>"4389230650"</f>
        <v>4389230650</v>
      </c>
      <c r="K125" t="s">
        <v>587</v>
      </c>
      <c r="L125" t="s">
        <v>588</v>
      </c>
      <c r="M125" t="s">
        <v>21</v>
      </c>
    </row>
    <row r="126" spans="1:13" x14ac:dyDescent="0.35">
      <c r="A126" t="str">
        <f>"185-6194"</f>
        <v>185-6194</v>
      </c>
      <c r="B126" t="s">
        <v>589</v>
      </c>
      <c r="C126" t="str">
        <f>"2327"</f>
        <v>2327</v>
      </c>
      <c r="E126" t="s">
        <v>590</v>
      </c>
      <c r="F126" t="s">
        <v>157</v>
      </c>
      <c r="G126" t="s">
        <v>591</v>
      </c>
      <c r="H126" t="s">
        <v>17</v>
      </c>
      <c r="I126" t="s">
        <v>18</v>
      </c>
      <c r="J126" t="str">
        <f>"4387778312"</f>
        <v>4387778312</v>
      </c>
      <c r="K126" t="s">
        <v>592</v>
      </c>
      <c r="L126" t="s">
        <v>76</v>
      </c>
      <c r="M126" t="s">
        <v>21</v>
      </c>
    </row>
    <row r="127" spans="1:13" x14ac:dyDescent="0.35">
      <c r="A127" t="str">
        <f>"185-6412"</f>
        <v>185-6412</v>
      </c>
      <c r="B127" t="s">
        <v>593</v>
      </c>
      <c r="C127" t="str">
        <f>"10593"</f>
        <v>10593</v>
      </c>
      <c r="D127" t="str">
        <f>"4"</f>
        <v>4</v>
      </c>
      <c r="E127" t="s">
        <v>594</v>
      </c>
      <c r="F127" t="s">
        <v>24</v>
      </c>
      <c r="G127" t="s">
        <v>595</v>
      </c>
      <c r="H127" t="s">
        <v>17</v>
      </c>
      <c r="I127" t="s">
        <v>18</v>
      </c>
      <c r="J127" t="str">
        <f>"4385211024"</f>
        <v>4385211024</v>
      </c>
      <c r="K127" t="s">
        <v>596</v>
      </c>
      <c r="L127" t="s">
        <v>27</v>
      </c>
      <c r="M127" t="s">
        <v>21</v>
      </c>
    </row>
    <row r="128" spans="1:13" x14ac:dyDescent="0.35">
      <c r="A128" t="str">
        <f>"186-4389"</f>
        <v>186-4389</v>
      </c>
      <c r="B128" t="s">
        <v>599</v>
      </c>
      <c r="C128" t="str">
        <f>"11458"</f>
        <v>11458</v>
      </c>
      <c r="E128" t="s">
        <v>600</v>
      </c>
      <c r="F128" t="s">
        <v>46</v>
      </c>
      <c r="G128" t="s">
        <v>601</v>
      </c>
      <c r="H128" t="s">
        <v>17</v>
      </c>
      <c r="I128" t="s">
        <v>18</v>
      </c>
      <c r="J128" t="str">
        <f>"4383944541"</f>
        <v>4383944541</v>
      </c>
      <c r="K128" t="s">
        <v>602</v>
      </c>
      <c r="L128" t="s">
        <v>39</v>
      </c>
      <c r="M128" t="s">
        <v>21</v>
      </c>
    </row>
    <row r="129" spans="1:13" x14ac:dyDescent="0.35">
      <c r="A129" t="str">
        <f>"188-5190"</f>
        <v>188-5190</v>
      </c>
      <c r="B129" t="s">
        <v>604</v>
      </c>
      <c r="C129" t="str">
        <f>"8450"</f>
        <v>8450</v>
      </c>
      <c r="E129" t="s">
        <v>605</v>
      </c>
      <c r="F129" t="s">
        <v>24</v>
      </c>
      <c r="G129" t="s">
        <v>606</v>
      </c>
      <c r="H129" t="s">
        <v>17</v>
      </c>
      <c r="I129" t="s">
        <v>18</v>
      </c>
      <c r="J129" t="str">
        <f>"5149673836"</f>
        <v>5149673836</v>
      </c>
      <c r="K129" t="s">
        <v>607</v>
      </c>
      <c r="L129" t="s">
        <v>608</v>
      </c>
      <c r="M129" t="s">
        <v>21</v>
      </c>
    </row>
    <row r="130" spans="1:13" x14ac:dyDescent="0.35">
      <c r="A130" t="str">
        <f>"148-4291"</f>
        <v>148-4291</v>
      </c>
      <c r="B130" t="s">
        <v>610</v>
      </c>
      <c r="C130" t="str">
        <f>"9865"</f>
        <v>9865</v>
      </c>
      <c r="E130" t="s">
        <v>611</v>
      </c>
      <c r="F130" t="s">
        <v>24</v>
      </c>
      <c r="G130" t="s">
        <v>612</v>
      </c>
      <c r="H130" t="s">
        <v>17</v>
      </c>
      <c r="I130" t="s">
        <v>18</v>
      </c>
      <c r="J130" t="str">
        <f>"4387782044"</f>
        <v>4387782044</v>
      </c>
      <c r="K130" t="s">
        <v>613</v>
      </c>
      <c r="L130" t="s">
        <v>98</v>
      </c>
      <c r="M130" t="s">
        <v>21</v>
      </c>
    </row>
    <row r="131" spans="1:13" x14ac:dyDescent="0.35">
      <c r="A131" t="str">
        <f>"189-1716"</f>
        <v>189-1716</v>
      </c>
      <c r="B131" t="s">
        <v>614</v>
      </c>
      <c r="C131" t="str">
        <f>"4392"</f>
        <v>4392</v>
      </c>
      <c r="E131" t="s">
        <v>615</v>
      </c>
      <c r="F131" t="s">
        <v>24</v>
      </c>
      <c r="G131" t="s">
        <v>616</v>
      </c>
      <c r="H131" t="s">
        <v>17</v>
      </c>
      <c r="I131" t="s">
        <v>18</v>
      </c>
      <c r="J131" t="str">
        <f>"5144484961"</f>
        <v>5144484961</v>
      </c>
      <c r="K131" t="s">
        <v>617</v>
      </c>
      <c r="L131" t="s">
        <v>608</v>
      </c>
      <c r="M131" t="s">
        <v>21</v>
      </c>
    </row>
    <row r="132" spans="1:13" x14ac:dyDescent="0.35">
      <c r="A132" t="str">
        <f>"185-4522"</f>
        <v>185-4522</v>
      </c>
      <c r="B132" t="s">
        <v>618</v>
      </c>
      <c r="C132" t="str">
        <f>"7510"</f>
        <v>7510</v>
      </c>
      <c r="D132" t="str">
        <f>"3A"</f>
        <v>3A</v>
      </c>
      <c r="E132" t="s">
        <v>619</v>
      </c>
      <c r="F132" t="s">
        <v>24</v>
      </c>
      <c r="G132" t="s">
        <v>620</v>
      </c>
      <c r="H132" t="s">
        <v>17</v>
      </c>
      <c r="I132" t="s">
        <v>18</v>
      </c>
      <c r="J132" t="str">
        <f>"4383915812"</f>
        <v>4383915812</v>
      </c>
      <c r="K132" t="s">
        <v>621</v>
      </c>
      <c r="L132" t="s">
        <v>76</v>
      </c>
      <c r="M132" t="s">
        <v>21</v>
      </c>
    </row>
    <row r="133" spans="1:13" x14ac:dyDescent="0.35">
      <c r="A133" t="str">
        <f>"186-3216"</f>
        <v>186-3216</v>
      </c>
      <c r="B133" t="s">
        <v>622</v>
      </c>
      <c r="C133" t="str">
        <f>"270"</f>
        <v>270</v>
      </c>
      <c r="E133" t="s">
        <v>623</v>
      </c>
      <c r="F133" t="s">
        <v>624</v>
      </c>
      <c r="G133" t="s">
        <v>625</v>
      </c>
      <c r="H133" t="s">
        <v>17</v>
      </c>
      <c r="I133" t="s">
        <v>18</v>
      </c>
      <c r="J133" t="str">
        <f>"5147154346"</f>
        <v>5147154346</v>
      </c>
      <c r="K133" t="s">
        <v>626</v>
      </c>
      <c r="L133" t="s">
        <v>220</v>
      </c>
      <c r="M133" t="s">
        <v>21</v>
      </c>
    </row>
    <row r="134" spans="1:13" x14ac:dyDescent="0.35">
      <c r="A134" t="str">
        <f>"182-1205"</f>
        <v>182-1205</v>
      </c>
      <c r="B134" t="s">
        <v>628</v>
      </c>
      <c r="C134" t="str">
        <f>"912"</f>
        <v>912</v>
      </c>
      <c r="E134" t="s">
        <v>629</v>
      </c>
      <c r="F134" t="s">
        <v>24</v>
      </c>
      <c r="G134" t="s">
        <v>630</v>
      </c>
      <c r="H134" t="s">
        <v>17</v>
      </c>
      <c r="I134" t="s">
        <v>18</v>
      </c>
      <c r="J134" t="str">
        <f>"5146279857"</f>
        <v>5146279857</v>
      </c>
      <c r="K134" t="s">
        <v>631</v>
      </c>
      <c r="L134" t="s">
        <v>27</v>
      </c>
      <c r="M134" t="s">
        <v>21</v>
      </c>
    </row>
    <row r="135" spans="1:13" x14ac:dyDescent="0.35">
      <c r="A135" t="str">
        <f>"146-3495"</f>
        <v>146-3495</v>
      </c>
      <c r="B135" t="s">
        <v>634</v>
      </c>
      <c r="C135" t="str">
        <f>"5256"</f>
        <v>5256</v>
      </c>
      <c r="E135" t="s">
        <v>635</v>
      </c>
      <c r="F135" t="s">
        <v>24</v>
      </c>
      <c r="G135" t="s">
        <v>636</v>
      </c>
      <c r="H135" t="s">
        <v>17</v>
      </c>
      <c r="I135" t="s">
        <v>18</v>
      </c>
      <c r="J135" t="str">
        <f>"5146866721"</f>
        <v>5146866721</v>
      </c>
      <c r="K135" t="s">
        <v>637</v>
      </c>
      <c r="L135" t="s">
        <v>27</v>
      </c>
      <c r="M135" t="s">
        <v>21</v>
      </c>
    </row>
    <row r="136" spans="1:13" x14ac:dyDescent="0.35">
      <c r="A136" t="str">
        <f>"149-0989"</f>
        <v>149-0989</v>
      </c>
      <c r="B136" t="s">
        <v>638</v>
      </c>
      <c r="C136" t="str">
        <f>"11541"</f>
        <v>11541</v>
      </c>
      <c r="D136" t="str">
        <f>"A"</f>
        <v>A</v>
      </c>
      <c r="E136" t="s">
        <v>147</v>
      </c>
      <c r="F136" t="s">
        <v>24</v>
      </c>
      <c r="G136" t="s">
        <v>639</v>
      </c>
      <c r="H136" t="s">
        <v>17</v>
      </c>
      <c r="I136" t="s">
        <v>18</v>
      </c>
      <c r="J136" t="str">
        <f>"5149626473"</f>
        <v>5149626473</v>
      </c>
      <c r="K136" t="s">
        <v>640</v>
      </c>
      <c r="L136" t="s">
        <v>86</v>
      </c>
      <c r="M136" t="s">
        <v>21</v>
      </c>
    </row>
    <row r="137" spans="1:13" x14ac:dyDescent="0.35">
      <c r="A137" t="str">
        <f>"186-2512"</f>
        <v>186-2512</v>
      </c>
      <c r="B137" t="s">
        <v>641</v>
      </c>
      <c r="C137" t="str">
        <f>"11711"</f>
        <v>11711</v>
      </c>
      <c r="D137" t="str">
        <f>"8"</f>
        <v>8</v>
      </c>
      <c r="E137" t="s">
        <v>642</v>
      </c>
      <c r="F137" t="s">
        <v>24</v>
      </c>
      <c r="G137" t="s">
        <v>643</v>
      </c>
      <c r="H137" t="s">
        <v>17</v>
      </c>
      <c r="I137" t="s">
        <v>18</v>
      </c>
      <c r="J137" t="str">
        <f>"5148205081"</f>
        <v>5148205081</v>
      </c>
      <c r="K137" t="s">
        <v>644</v>
      </c>
      <c r="L137" t="s">
        <v>86</v>
      </c>
      <c r="M137" t="s">
        <v>21</v>
      </c>
    </row>
    <row r="138" spans="1:13" x14ac:dyDescent="0.35">
      <c r="A138" t="str">
        <f>"601-0537"</f>
        <v>601-0537</v>
      </c>
      <c r="B138" t="s">
        <v>646</v>
      </c>
      <c r="C138" t="str">
        <f>"3425"</f>
        <v>3425</v>
      </c>
      <c r="D138" t="str">
        <f>"5"</f>
        <v>5</v>
      </c>
      <c r="E138" t="s">
        <v>647</v>
      </c>
      <c r="F138" t="s">
        <v>24</v>
      </c>
      <c r="G138" t="s">
        <v>648</v>
      </c>
      <c r="H138" t="s">
        <v>17</v>
      </c>
      <c r="I138" t="s">
        <v>18</v>
      </c>
      <c r="J138" t="str">
        <f>"5145536437"</f>
        <v>5145536437</v>
      </c>
      <c r="K138" t="s">
        <v>649</v>
      </c>
      <c r="L138" t="s">
        <v>76</v>
      </c>
      <c r="M138" t="s">
        <v>21</v>
      </c>
    </row>
    <row r="139" spans="1:13" x14ac:dyDescent="0.35">
      <c r="A139" t="str">
        <f>"119-9359"</f>
        <v>119-9359</v>
      </c>
      <c r="B139" t="s">
        <v>650</v>
      </c>
      <c r="C139" t="str">
        <f>"365"</f>
        <v>365</v>
      </c>
      <c r="D139" t="str">
        <f>"110"</f>
        <v>110</v>
      </c>
      <c r="E139" t="s">
        <v>651</v>
      </c>
      <c r="F139" t="s">
        <v>24</v>
      </c>
      <c r="G139" t="s">
        <v>652</v>
      </c>
      <c r="H139" t="s">
        <v>17</v>
      </c>
      <c r="I139" t="s">
        <v>18</v>
      </c>
      <c r="J139" t="str">
        <f>"5144517332"</f>
        <v>5144517332</v>
      </c>
      <c r="K139" t="s">
        <v>653</v>
      </c>
      <c r="L139" t="s">
        <v>142</v>
      </c>
      <c r="M139" t="s">
        <v>21</v>
      </c>
    </row>
    <row r="140" spans="1:13" x14ac:dyDescent="0.35">
      <c r="A140" t="str">
        <f>"191-1634"</f>
        <v>191-1634</v>
      </c>
      <c r="B140" t="s">
        <v>654</v>
      </c>
      <c r="C140" t="str">
        <f>"7195"</f>
        <v>7195</v>
      </c>
      <c r="D140" t="str">
        <f>"8"</f>
        <v>8</v>
      </c>
      <c r="E140" t="s">
        <v>655</v>
      </c>
      <c r="F140" t="s">
        <v>656</v>
      </c>
      <c r="G140" t="s">
        <v>657</v>
      </c>
      <c r="H140" t="s">
        <v>17</v>
      </c>
      <c r="I140" t="s">
        <v>18</v>
      </c>
      <c r="J140" t="str">
        <f>"5149533414"</f>
        <v>5149533414</v>
      </c>
      <c r="K140" t="s">
        <v>658</v>
      </c>
      <c r="L140" t="s">
        <v>27</v>
      </c>
      <c r="M140" t="s">
        <v>21</v>
      </c>
    </row>
    <row r="141" spans="1:13" x14ac:dyDescent="0.35">
      <c r="A141" t="str">
        <f>"191-4775"</f>
        <v>191-4775</v>
      </c>
      <c r="B141" t="s">
        <v>659</v>
      </c>
      <c r="C141" t="str">
        <f>"245"</f>
        <v>245</v>
      </c>
      <c r="E141" t="s">
        <v>660</v>
      </c>
      <c r="F141" t="s">
        <v>624</v>
      </c>
      <c r="G141" t="s">
        <v>661</v>
      </c>
      <c r="H141" t="s">
        <v>17</v>
      </c>
      <c r="I141" t="s">
        <v>18</v>
      </c>
      <c r="J141" t="str">
        <f>"4384707736"</f>
        <v>4384707736</v>
      </c>
      <c r="K141" t="s">
        <v>662</v>
      </c>
      <c r="L141" t="s">
        <v>220</v>
      </c>
      <c r="M141" t="s">
        <v>21</v>
      </c>
    </row>
    <row r="142" spans="1:13" x14ac:dyDescent="0.35">
      <c r="A142" t="str">
        <f>"190-2667"</f>
        <v>190-2667</v>
      </c>
      <c r="B142" t="s">
        <v>663</v>
      </c>
      <c r="C142" t="str">
        <f>"11681"</f>
        <v>11681</v>
      </c>
      <c r="E142" t="s">
        <v>664</v>
      </c>
      <c r="F142" t="s">
        <v>24</v>
      </c>
      <c r="G142" t="s">
        <v>665</v>
      </c>
      <c r="H142" t="s">
        <v>17</v>
      </c>
      <c r="I142" t="s">
        <v>18</v>
      </c>
      <c r="J142" t="str">
        <f>"5148312084"</f>
        <v>5148312084</v>
      </c>
      <c r="K142" t="s">
        <v>666</v>
      </c>
      <c r="L142" t="s">
        <v>193</v>
      </c>
      <c r="M142" t="s">
        <v>21</v>
      </c>
    </row>
    <row r="143" spans="1:13" x14ac:dyDescent="0.35">
      <c r="A143" t="str">
        <f>"177-6711"</f>
        <v>177-6711</v>
      </c>
      <c r="B143" t="s">
        <v>667</v>
      </c>
      <c r="C143" t="str">
        <f>"8375"</f>
        <v>8375</v>
      </c>
      <c r="E143" t="s">
        <v>668</v>
      </c>
      <c r="F143" t="s">
        <v>54</v>
      </c>
      <c r="G143" t="s">
        <v>669</v>
      </c>
      <c r="H143" t="s">
        <v>17</v>
      </c>
      <c r="I143" t="s">
        <v>18</v>
      </c>
      <c r="J143" t="str">
        <f>"5145926063"</f>
        <v>5145926063</v>
      </c>
      <c r="K143" t="s">
        <v>670</v>
      </c>
      <c r="L143" t="s">
        <v>220</v>
      </c>
      <c r="M143" t="s">
        <v>21</v>
      </c>
    </row>
    <row r="144" spans="1:13" x14ac:dyDescent="0.35">
      <c r="A144" t="str">
        <f>"178-6126"</f>
        <v>178-6126</v>
      </c>
      <c r="B144" t="s">
        <v>671</v>
      </c>
      <c r="C144" t="str">
        <f>"5260"</f>
        <v>5260</v>
      </c>
      <c r="E144" t="s">
        <v>672</v>
      </c>
      <c r="F144" t="s">
        <v>24</v>
      </c>
      <c r="G144" t="s">
        <v>673</v>
      </c>
      <c r="H144" t="s">
        <v>17</v>
      </c>
      <c r="I144" t="s">
        <v>18</v>
      </c>
      <c r="J144" t="str">
        <f>"5146064186"</f>
        <v>5146064186</v>
      </c>
      <c r="K144" t="s">
        <v>674</v>
      </c>
      <c r="L144" t="s">
        <v>76</v>
      </c>
      <c r="M144" t="s">
        <v>21</v>
      </c>
    </row>
    <row r="145" spans="1:13" x14ac:dyDescent="0.35">
      <c r="A145" t="str">
        <f>"190-3605"</f>
        <v>190-3605</v>
      </c>
      <c r="B145" t="s">
        <v>678</v>
      </c>
      <c r="C145" t="str">
        <f>"8055"</f>
        <v>8055</v>
      </c>
      <c r="D145" t="str">
        <f>"B 110"</f>
        <v>B 110</v>
      </c>
      <c r="E145" t="s">
        <v>679</v>
      </c>
      <c r="F145" t="s">
        <v>24</v>
      </c>
      <c r="G145" t="s">
        <v>680</v>
      </c>
      <c r="H145" t="s">
        <v>17</v>
      </c>
      <c r="I145" t="s">
        <v>18</v>
      </c>
      <c r="J145" t="str">
        <f>"5148086748"</f>
        <v>5148086748</v>
      </c>
      <c r="K145" t="s">
        <v>681</v>
      </c>
      <c r="L145" t="s">
        <v>20</v>
      </c>
      <c r="M145" t="s">
        <v>21</v>
      </c>
    </row>
    <row r="146" spans="1:13" x14ac:dyDescent="0.35">
      <c r="A146" t="str">
        <f>"191-4561"</f>
        <v>191-4561</v>
      </c>
      <c r="B146" t="s">
        <v>683</v>
      </c>
      <c r="C146" t="str">
        <f>"2147"</f>
        <v>2147</v>
      </c>
      <c r="E146" t="s">
        <v>684</v>
      </c>
      <c r="F146" t="s">
        <v>24</v>
      </c>
      <c r="G146" t="s">
        <v>685</v>
      </c>
      <c r="H146" t="s">
        <v>17</v>
      </c>
      <c r="I146" t="s">
        <v>18</v>
      </c>
      <c r="J146" t="str">
        <f>"5146591830"</f>
        <v>5146591830</v>
      </c>
      <c r="K146" t="s">
        <v>686</v>
      </c>
      <c r="L146" t="s">
        <v>438</v>
      </c>
      <c r="M146" t="s">
        <v>21</v>
      </c>
    </row>
    <row r="147" spans="1:13" x14ac:dyDescent="0.35">
      <c r="A147" t="str">
        <f>"182-1988"</f>
        <v>182-1988</v>
      </c>
      <c r="B147" t="s">
        <v>687</v>
      </c>
      <c r="C147" t="str">
        <f>"644"</f>
        <v>644</v>
      </c>
      <c r="D147" t="str">
        <f>"301"</f>
        <v>301</v>
      </c>
      <c r="E147" t="s">
        <v>688</v>
      </c>
      <c r="F147" t="s">
        <v>32</v>
      </c>
      <c r="G147" t="s">
        <v>689</v>
      </c>
      <c r="H147" t="s">
        <v>17</v>
      </c>
      <c r="I147" t="s">
        <v>18</v>
      </c>
      <c r="J147" t="str">
        <f>"5148279014"</f>
        <v>5148279014</v>
      </c>
      <c r="K147" t="s">
        <v>690</v>
      </c>
      <c r="L147" t="s">
        <v>98</v>
      </c>
      <c r="M147" t="s">
        <v>21</v>
      </c>
    </row>
    <row r="148" spans="1:13" x14ac:dyDescent="0.35">
      <c r="A148" t="str">
        <f>"184-9186"</f>
        <v>184-9186</v>
      </c>
      <c r="B148" t="s">
        <v>693</v>
      </c>
      <c r="C148" t="str">
        <f>"8819"</f>
        <v>8819</v>
      </c>
      <c r="D148" t="str">
        <f>"1"</f>
        <v>1</v>
      </c>
      <c r="E148" t="s">
        <v>694</v>
      </c>
      <c r="F148" t="s">
        <v>24</v>
      </c>
      <c r="G148" t="s">
        <v>695</v>
      </c>
      <c r="H148" t="s">
        <v>17</v>
      </c>
      <c r="I148" t="s">
        <v>18</v>
      </c>
      <c r="J148" t="str">
        <f>"5142946333"</f>
        <v>5142946333</v>
      </c>
      <c r="K148" t="s">
        <v>696</v>
      </c>
      <c r="L148" t="s">
        <v>76</v>
      </c>
      <c r="M148" t="s">
        <v>21</v>
      </c>
    </row>
    <row r="149" spans="1:13" x14ac:dyDescent="0.35">
      <c r="A149" t="str">
        <f>"187-1433"</f>
        <v>187-1433</v>
      </c>
      <c r="B149" t="s">
        <v>697</v>
      </c>
      <c r="C149" t="str">
        <f>"3270"</f>
        <v>3270</v>
      </c>
      <c r="D149" t="str">
        <f>"25"</f>
        <v>25</v>
      </c>
      <c r="E149" t="s">
        <v>698</v>
      </c>
      <c r="F149" t="s">
        <v>54</v>
      </c>
      <c r="G149" t="s">
        <v>699</v>
      </c>
      <c r="H149" t="s">
        <v>17</v>
      </c>
      <c r="I149" t="s">
        <v>18</v>
      </c>
      <c r="J149" t="str">
        <f>"5145494732"</f>
        <v>5145494732</v>
      </c>
      <c r="K149" t="s">
        <v>700</v>
      </c>
      <c r="L149" t="s">
        <v>76</v>
      </c>
      <c r="M149" t="s">
        <v>21</v>
      </c>
    </row>
    <row r="150" spans="1:13" x14ac:dyDescent="0.35">
      <c r="A150" t="str">
        <f>"180-3528"</f>
        <v>180-3528</v>
      </c>
      <c r="B150" t="s">
        <v>701</v>
      </c>
      <c r="C150" t="str">
        <f>"927"</f>
        <v>927</v>
      </c>
      <c r="E150" t="s">
        <v>702</v>
      </c>
      <c r="F150" t="s">
        <v>54</v>
      </c>
      <c r="G150" t="s">
        <v>703</v>
      </c>
      <c r="H150" t="s">
        <v>17</v>
      </c>
      <c r="I150" t="s">
        <v>18</v>
      </c>
      <c r="J150" t="str">
        <f>"4384084634"</f>
        <v>4384084634</v>
      </c>
      <c r="K150" t="s">
        <v>704</v>
      </c>
      <c r="L150" t="s">
        <v>76</v>
      </c>
      <c r="M150" t="s">
        <v>21</v>
      </c>
    </row>
    <row r="151" spans="1:13" x14ac:dyDescent="0.35">
      <c r="A151" t="str">
        <f>"187-9692"</f>
        <v>187-9692</v>
      </c>
      <c r="B151" t="s">
        <v>705</v>
      </c>
      <c r="C151" t="str">
        <f>"1265"</f>
        <v>1265</v>
      </c>
      <c r="D151" t="str">
        <f>"15"</f>
        <v>15</v>
      </c>
      <c r="E151" t="s">
        <v>706</v>
      </c>
      <c r="F151" t="s">
        <v>143</v>
      </c>
      <c r="G151" t="s">
        <v>707</v>
      </c>
      <c r="H151" t="s">
        <v>17</v>
      </c>
      <c r="I151" t="s">
        <v>18</v>
      </c>
      <c r="J151" t="str">
        <f>"4385259628"</f>
        <v>4385259628</v>
      </c>
      <c r="K151" t="s">
        <v>708</v>
      </c>
      <c r="L151" t="s">
        <v>20</v>
      </c>
      <c r="M151" t="s">
        <v>21</v>
      </c>
    </row>
    <row r="152" spans="1:13" x14ac:dyDescent="0.35">
      <c r="A152" t="str">
        <f>"192-9677"</f>
        <v>192-9677</v>
      </c>
      <c r="B152" t="s">
        <v>709</v>
      </c>
      <c r="C152" t="str">
        <f>"2901"</f>
        <v>2901</v>
      </c>
      <c r="E152" t="s">
        <v>710</v>
      </c>
      <c r="F152" t="s">
        <v>143</v>
      </c>
      <c r="G152" t="s">
        <v>711</v>
      </c>
      <c r="H152" t="s">
        <v>17</v>
      </c>
      <c r="I152" t="s">
        <v>18</v>
      </c>
      <c r="J152" t="str">
        <f>"5146630541"</f>
        <v>5146630541</v>
      </c>
      <c r="K152" t="s">
        <v>712</v>
      </c>
      <c r="L152" t="s">
        <v>39</v>
      </c>
      <c r="M152" t="s">
        <v>21</v>
      </c>
    </row>
    <row r="153" spans="1:13" x14ac:dyDescent="0.35">
      <c r="A153" t="str">
        <f>"146-9185"</f>
        <v>146-9185</v>
      </c>
      <c r="B153" t="s">
        <v>713</v>
      </c>
      <c r="C153" t="str">
        <f>"485"</f>
        <v>485</v>
      </c>
      <c r="E153" t="s">
        <v>714</v>
      </c>
      <c r="F153" t="s">
        <v>682</v>
      </c>
      <c r="G153" t="s">
        <v>715</v>
      </c>
      <c r="H153" t="s">
        <v>17</v>
      </c>
      <c r="I153" t="s">
        <v>18</v>
      </c>
      <c r="J153" t="str">
        <f>"5146081835"</f>
        <v>5146081835</v>
      </c>
      <c r="K153" t="s">
        <v>716</v>
      </c>
      <c r="L153" t="s">
        <v>313</v>
      </c>
      <c r="M153" t="s">
        <v>21</v>
      </c>
    </row>
    <row r="154" spans="1:13" x14ac:dyDescent="0.35">
      <c r="A154" t="str">
        <f>"193-2812"</f>
        <v>193-2812</v>
      </c>
      <c r="B154" t="s">
        <v>717</v>
      </c>
      <c r="C154" t="str">
        <f>"7"</f>
        <v>7</v>
      </c>
      <c r="E154" t="s">
        <v>718</v>
      </c>
      <c r="F154" t="s">
        <v>719</v>
      </c>
      <c r="G154" t="s">
        <v>720</v>
      </c>
      <c r="H154" t="s">
        <v>17</v>
      </c>
      <c r="I154" t="s">
        <v>18</v>
      </c>
      <c r="J154" t="str">
        <f>"5149227810"</f>
        <v>5149227810</v>
      </c>
      <c r="K154" t="s">
        <v>721</v>
      </c>
      <c r="L154" t="s">
        <v>39</v>
      </c>
      <c r="M154" t="s">
        <v>21</v>
      </c>
    </row>
    <row r="155" spans="1:13" x14ac:dyDescent="0.35">
      <c r="A155" t="str">
        <f>"192-5316"</f>
        <v>192-5316</v>
      </c>
      <c r="B155" t="s">
        <v>722</v>
      </c>
      <c r="C155" t="str">
        <f>"5409"</f>
        <v>5409</v>
      </c>
      <c r="D155" t="str">
        <f>"A"</f>
        <v>A</v>
      </c>
      <c r="E155" t="s">
        <v>723</v>
      </c>
      <c r="F155" t="s">
        <v>40</v>
      </c>
      <c r="G155" t="s">
        <v>724</v>
      </c>
      <c r="H155" t="s">
        <v>17</v>
      </c>
      <c r="I155" t="s">
        <v>18</v>
      </c>
      <c r="J155" t="str">
        <f>"4384834749"</f>
        <v>4384834749</v>
      </c>
      <c r="K155" t="s">
        <v>725</v>
      </c>
      <c r="L155" t="s">
        <v>27</v>
      </c>
      <c r="M155" t="s">
        <v>21</v>
      </c>
    </row>
    <row r="156" spans="1:13" x14ac:dyDescent="0.35">
      <c r="A156" t="str">
        <f>"172-1003"</f>
        <v>172-1003</v>
      </c>
      <c r="B156" t="s">
        <v>726</v>
      </c>
      <c r="C156" t="str">
        <f>"10664"</f>
        <v>10664</v>
      </c>
      <c r="D156" t="str">
        <f>"6"</f>
        <v>6</v>
      </c>
      <c r="E156" t="s">
        <v>727</v>
      </c>
      <c r="F156" t="s">
        <v>24</v>
      </c>
      <c r="G156" t="s">
        <v>728</v>
      </c>
      <c r="H156" t="s">
        <v>17</v>
      </c>
      <c r="I156" t="s">
        <v>18</v>
      </c>
      <c r="J156" t="str">
        <f>"5148342285"</f>
        <v>5148342285</v>
      </c>
      <c r="K156" t="s">
        <v>729</v>
      </c>
      <c r="L156" t="s">
        <v>27</v>
      </c>
      <c r="M156" t="s">
        <v>21</v>
      </c>
    </row>
    <row r="157" spans="1:13" x14ac:dyDescent="0.35">
      <c r="A157" t="str">
        <f>"198-3032"</f>
        <v>198-3032</v>
      </c>
      <c r="B157" t="s">
        <v>731</v>
      </c>
      <c r="C157" t="str">
        <f>"7741"</f>
        <v>7741</v>
      </c>
      <c r="E157" t="s">
        <v>556</v>
      </c>
      <c r="F157" t="s">
        <v>24</v>
      </c>
      <c r="G157" t="s">
        <v>732</v>
      </c>
      <c r="H157" t="s">
        <v>17</v>
      </c>
      <c r="I157" t="s">
        <v>18</v>
      </c>
      <c r="J157" t="str">
        <f>"4389344826"</f>
        <v>4389344826</v>
      </c>
      <c r="K157" t="s">
        <v>733</v>
      </c>
      <c r="L157" t="s">
        <v>70</v>
      </c>
      <c r="M157" t="s">
        <v>21</v>
      </c>
    </row>
    <row r="158" spans="1:13" x14ac:dyDescent="0.35">
      <c r="A158" t="str">
        <f>"146-0372"</f>
        <v>146-0372</v>
      </c>
      <c r="B158" t="s">
        <v>734</v>
      </c>
      <c r="C158" t="str">
        <f>"4063"</f>
        <v>4063</v>
      </c>
      <c r="E158" t="s">
        <v>286</v>
      </c>
      <c r="F158" t="s">
        <v>24</v>
      </c>
      <c r="G158" t="s">
        <v>735</v>
      </c>
      <c r="H158" t="s">
        <v>17</v>
      </c>
      <c r="I158" t="s">
        <v>18</v>
      </c>
      <c r="J158" t="str">
        <f>"8194520930"</f>
        <v>8194520930</v>
      </c>
      <c r="K158" t="s">
        <v>736</v>
      </c>
      <c r="L158" t="s">
        <v>20</v>
      </c>
      <c r="M158" t="s">
        <v>21</v>
      </c>
    </row>
    <row r="159" spans="1:13" x14ac:dyDescent="0.35">
      <c r="A159" t="str">
        <f>"194-6519"</f>
        <v>194-6519</v>
      </c>
      <c r="B159" t="s">
        <v>737</v>
      </c>
      <c r="C159" t="str">
        <f>"908"</f>
        <v>908</v>
      </c>
      <c r="E159" t="s">
        <v>738</v>
      </c>
      <c r="F159" t="s">
        <v>24</v>
      </c>
      <c r="G159" t="s">
        <v>739</v>
      </c>
      <c r="H159" t="s">
        <v>17</v>
      </c>
      <c r="I159" t="s">
        <v>18</v>
      </c>
      <c r="J159" t="str">
        <f>"5146926373"</f>
        <v>5146926373</v>
      </c>
      <c r="K159" t="s">
        <v>740</v>
      </c>
      <c r="L159" t="s">
        <v>39</v>
      </c>
      <c r="M159" t="s">
        <v>21</v>
      </c>
    </row>
    <row r="160" spans="1:13" x14ac:dyDescent="0.35">
      <c r="A160" t="str">
        <f>"192-8408"</f>
        <v>192-8408</v>
      </c>
      <c r="B160" t="s">
        <v>741</v>
      </c>
      <c r="C160" t="str">
        <f>"836"</f>
        <v>836</v>
      </c>
      <c r="E160" t="s">
        <v>742</v>
      </c>
      <c r="F160" t="s">
        <v>32</v>
      </c>
      <c r="G160" t="s">
        <v>743</v>
      </c>
      <c r="H160" t="s">
        <v>17</v>
      </c>
      <c r="I160" t="s">
        <v>18</v>
      </c>
      <c r="J160" t="str">
        <f>"5146496119"</f>
        <v>5146496119</v>
      </c>
      <c r="K160" t="s">
        <v>744</v>
      </c>
      <c r="L160" t="s">
        <v>350</v>
      </c>
      <c r="M160" t="s">
        <v>21</v>
      </c>
    </row>
    <row r="161" spans="1:13" x14ac:dyDescent="0.35">
      <c r="A161" t="str">
        <f>"157-4739"</f>
        <v>157-4739</v>
      </c>
      <c r="B161" t="s">
        <v>745</v>
      </c>
      <c r="C161" t="str">
        <f>"521"</f>
        <v>521</v>
      </c>
      <c r="E161" t="s">
        <v>746</v>
      </c>
      <c r="F161" t="s">
        <v>747</v>
      </c>
      <c r="G161" t="s">
        <v>748</v>
      </c>
      <c r="H161" t="s">
        <v>17</v>
      </c>
      <c r="I161" t="s">
        <v>18</v>
      </c>
      <c r="J161" t="str">
        <f>"4385285458"</f>
        <v>4385285458</v>
      </c>
      <c r="K161" t="s">
        <v>749</v>
      </c>
      <c r="L161" t="s">
        <v>20</v>
      </c>
      <c r="M161" t="s">
        <v>21</v>
      </c>
    </row>
    <row r="162" spans="1:13" x14ac:dyDescent="0.35">
      <c r="A162" t="str">
        <f>"094-8835"</f>
        <v>094-8835</v>
      </c>
      <c r="B162" t="s">
        <v>750</v>
      </c>
      <c r="C162" t="str">
        <f>"595"</f>
        <v>595</v>
      </c>
      <c r="D162" t="str">
        <f>"6"</f>
        <v>6</v>
      </c>
      <c r="E162" t="s">
        <v>751</v>
      </c>
      <c r="F162" t="s">
        <v>54</v>
      </c>
      <c r="G162" t="s">
        <v>752</v>
      </c>
      <c r="H162" t="s">
        <v>17</v>
      </c>
      <c r="I162" t="s">
        <v>18</v>
      </c>
      <c r="J162" t="str">
        <f>"4382293810"</f>
        <v>4382293810</v>
      </c>
      <c r="K162" t="s">
        <v>753</v>
      </c>
      <c r="L162" t="s">
        <v>350</v>
      </c>
      <c r="M162" t="s">
        <v>21</v>
      </c>
    </row>
    <row r="163" spans="1:13" x14ac:dyDescent="0.35">
      <c r="A163" t="str">
        <f>"162-6456"</f>
        <v>162-6456</v>
      </c>
      <c r="B163" t="s">
        <v>754</v>
      </c>
      <c r="C163" t="str">
        <f>"2910"</f>
        <v>2910</v>
      </c>
      <c r="D163" t="str">
        <f>"620"</f>
        <v>620</v>
      </c>
      <c r="E163" t="s">
        <v>755</v>
      </c>
      <c r="F163" t="s">
        <v>24</v>
      </c>
      <c r="G163" t="s">
        <v>756</v>
      </c>
      <c r="H163" t="s">
        <v>17</v>
      </c>
      <c r="I163" t="s">
        <v>18</v>
      </c>
      <c r="J163" t="str">
        <f>"8193238121"</f>
        <v>8193238121</v>
      </c>
      <c r="K163" t="s">
        <v>757</v>
      </c>
      <c r="L163" t="s">
        <v>350</v>
      </c>
      <c r="M163" t="s">
        <v>21</v>
      </c>
    </row>
    <row r="164" spans="1:13" x14ac:dyDescent="0.35">
      <c r="A164" t="str">
        <f>"194-6505"</f>
        <v>194-6505</v>
      </c>
      <c r="B164" t="s">
        <v>758</v>
      </c>
      <c r="C164" t="str">
        <f>"8437"</f>
        <v>8437</v>
      </c>
      <c r="E164" t="s">
        <v>759</v>
      </c>
      <c r="F164" t="s">
        <v>24</v>
      </c>
      <c r="G164" t="s">
        <v>760</v>
      </c>
      <c r="H164" t="s">
        <v>17</v>
      </c>
      <c r="I164" t="s">
        <v>18</v>
      </c>
      <c r="J164" t="str">
        <f>"5142074158"</f>
        <v>5142074158</v>
      </c>
      <c r="K164" t="s">
        <v>761</v>
      </c>
      <c r="L164" t="s">
        <v>466</v>
      </c>
      <c r="M164" t="s">
        <v>21</v>
      </c>
    </row>
    <row r="165" spans="1:13" x14ac:dyDescent="0.35">
      <c r="A165" t="str">
        <f>"123-2333"</f>
        <v>123-2333</v>
      </c>
      <c r="B165" t="s">
        <v>762</v>
      </c>
      <c r="C165" t="str">
        <f>"7862"</f>
        <v>7862</v>
      </c>
      <c r="E165" t="s">
        <v>763</v>
      </c>
      <c r="F165" t="s">
        <v>24</v>
      </c>
      <c r="G165" t="s">
        <v>764</v>
      </c>
      <c r="H165" t="s">
        <v>17</v>
      </c>
      <c r="I165" t="s">
        <v>18</v>
      </c>
      <c r="J165" t="str">
        <f>"4389690944"</f>
        <v>4389690944</v>
      </c>
      <c r="K165" t="s">
        <v>765</v>
      </c>
      <c r="L165" t="s">
        <v>39</v>
      </c>
      <c r="M165" t="s">
        <v>21</v>
      </c>
    </row>
    <row r="166" spans="1:13" x14ac:dyDescent="0.35">
      <c r="A166" t="str">
        <f>"183-1723"</f>
        <v>183-1723</v>
      </c>
      <c r="B166" t="s">
        <v>766</v>
      </c>
      <c r="C166" t="str">
        <f>"30"</f>
        <v>30</v>
      </c>
      <c r="E166" t="s">
        <v>767</v>
      </c>
      <c r="F166" t="s">
        <v>768</v>
      </c>
      <c r="G166" t="s">
        <v>769</v>
      </c>
      <c r="H166" t="s">
        <v>17</v>
      </c>
      <c r="I166" t="s">
        <v>18</v>
      </c>
      <c r="J166" t="str">
        <f>"5149291627"</f>
        <v>5149291627</v>
      </c>
      <c r="K166" t="s">
        <v>770</v>
      </c>
      <c r="L166" t="s">
        <v>313</v>
      </c>
      <c r="M166" t="s">
        <v>21</v>
      </c>
    </row>
    <row r="167" spans="1:13" x14ac:dyDescent="0.35">
      <c r="A167" t="str">
        <f>"184-8877"</f>
        <v>184-8877</v>
      </c>
      <c r="B167" t="s">
        <v>771</v>
      </c>
      <c r="C167" t="str">
        <f>"3101"</f>
        <v>3101</v>
      </c>
      <c r="E167" t="s">
        <v>772</v>
      </c>
      <c r="F167" t="s">
        <v>773</v>
      </c>
      <c r="G167" t="s">
        <v>774</v>
      </c>
      <c r="H167" t="s">
        <v>17</v>
      </c>
      <c r="I167" t="s">
        <v>18</v>
      </c>
      <c r="J167" t="str">
        <f>"4509165536"</f>
        <v>4509165536</v>
      </c>
      <c r="K167" t="s">
        <v>775</v>
      </c>
      <c r="L167" t="s">
        <v>313</v>
      </c>
      <c r="M167" t="s">
        <v>21</v>
      </c>
    </row>
    <row r="168" spans="1:13" x14ac:dyDescent="0.35">
      <c r="A168" t="str">
        <f>"187-9993"</f>
        <v>187-9993</v>
      </c>
      <c r="B168" t="s">
        <v>776</v>
      </c>
      <c r="C168" t="str">
        <f>"3241"</f>
        <v>3241</v>
      </c>
      <c r="E168" t="s">
        <v>777</v>
      </c>
      <c r="F168" t="s">
        <v>24</v>
      </c>
      <c r="G168" t="s">
        <v>778</v>
      </c>
      <c r="H168" t="s">
        <v>17</v>
      </c>
      <c r="I168" t="s">
        <v>18</v>
      </c>
      <c r="J168" t="str">
        <f>"5146531806"</f>
        <v>5146531806</v>
      </c>
      <c r="K168" t="s">
        <v>779</v>
      </c>
      <c r="L168" t="s">
        <v>534</v>
      </c>
      <c r="M168" t="s">
        <v>21</v>
      </c>
    </row>
    <row r="169" spans="1:13" x14ac:dyDescent="0.35">
      <c r="A169" t="str">
        <f>"193-4614"</f>
        <v>193-4614</v>
      </c>
      <c r="B169" t="s">
        <v>780</v>
      </c>
      <c r="C169" t="str">
        <f>"8151"</f>
        <v>8151</v>
      </c>
      <c r="D169" t="str">
        <f>"05"</f>
        <v>05</v>
      </c>
      <c r="E169" t="s">
        <v>781</v>
      </c>
      <c r="F169" t="s">
        <v>40</v>
      </c>
      <c r="G169" t="s">
        <v>782</v>
      </c>
      <c r="H169" t="s">
        <v>17</v>
      </c>
      <c r="I169" t="s">
        <v>18</v>
      </c>
      <c r="J169" t="str">
        <f>"5144638108"</f>
        <v>5144638108</v>
      </c>
      <c r="K169" t="s">
        <v>783</v>
      </c>
      <c r="L169" t="s">
        <v>220</v>
      </c>
      <c r="M169" t="s">
        <v>21</v>
      </c>
    </row>
    <row r="170" spans="1:13" x14ac:dyDescent="0.35">
      <c r="A170" t="str">
        <f>"194-3261"</f>
        <v>194-3261</v>
      </c>
      <c r="B170" t="s">
        <v>784</v>
      </c>
      <c r="C170" t="str">
        <f>"5410"</f>
        <v>5410</v>
      </c>
      <c r="D170" t="str">
        <f>"3"</f>
        <v>3</v>
      </c>
      <c r="E170" t="s">
        <v>785</v>
      </c>
      <c r="F170" t="s">
        <v>24</v>
      </c>
      <c r="G170" t="s">
        <v>786</v>
      </c>
      <c r="H170" t="s">
        <v>17</v>
      </c>
      <c r="I170" t="s">
        <v>18</v>
      </c>
      <c r="J170" t="str">
        <f>"5142446326"</f>
        <v>5142446326</v>
      </c>
      <c r="K170" t="s">
        <v>787</v>
      </c>
      <c r="L170" t="s">
        <v>168</v>
      </c>
      <c r="M170" t="s">
        <v>21</v>
      </c>
    </row>
    <row r="171" spans="1:13" x14ac:dyDescent="0.35">
      <c r="A171" t="str">
        <f>"195-6977"</f>
        <v>195-6977</v>
      </c>
      <c r="B171" t="s">
        <v>788</v>
      </c>
      <c r="C171" t="str">
        <f>"4226"</f>
        <v>4226</v>
      </c>
      <c r="D171" t="str">
        <f>"4226"</f>
        <v>4226</v>
      </c>
      <c r="E171" t="s">
        <v>789</v>
      </c>
      <c r="F171" t="s">
        <v>24</v>
      </c>
      <c r="G171" t="s">
        <v>790</v>
      </c>
      <c r="H171" t="s">
        <v>17</v>
      </c>
      <c r="I171" t="s">
        <v>18</v>
      </c>
      <c r="J171" t="str">
        <f>"4382215346"</f>
        <v>4382215346</v>
      </c>
      <c r="K171" t="s">
        <v>791</v>
      </c>
      <c r="L171" t="s">
        <v>88</v>
      </c>
      <c r="M171" t="s">
        <v>21</v>
      </c>
    </row>
    <row r="172" spans="1:13" x14ac:dyDescent="0.35">
      <c r="A172" t="str">
        <f>"196-2088"</f>
        <v>196-2088</v>
      </c>
      <c r="B172" t="s">
        <v>792</v>
      </c>
      <c r="C172" t="str">
        <f>"4247"</f>
        <v>4247</v>
      </c>
      <c r="E172" t="s">
        <v>793</v>
      </c>
      <c r="F172" t="s">
        <v>54</v>
      </c>
      <c r="G172" t="s">
        <v>794</v>
      </c>
      <c r="H172" t="s">
        <v>17</v>
      </c>
      <c r="I172" t="s">
        <v>18</v>
      </c>
      <c r="J172" t="str">
        <f>"4385043014"</f>
        <v>4385043014</v>
      </c>
      <c r="K172" t="s">
        <v>795</v>
      </c>
      <c r="L172" t="s">
        <v>20</v>
      </c>
      <c r="M172" t="s">
        <v>21</v>
      </c>
    </row>
    <row r="173" spans="1:13" x14ac:dyDescent="0.35">
      <c r="A173" t="str">
        <f>"196-4250"</f>
        <v>196-4250</v>
      </c>
      <c r="B173" t="s">
        <v>796</v>
      </c>
      <c r="C173" t="str">
        <f>"281"</f>
        <v>281</v>
      </c>
      <c r="E173" t="s">
        <v>797</v>
      </c>
      <c r="F173" t="s">
        <v>798</v>
      </c>
      <c r="G173" t="s">
        <v>799</v>
      </c>
      <c r="H173" t="s">
        <v>17</v>
      </c>
      <c r="I173" t="s">
        <v>18</v>
      </c>
      <c r="J173" t="str">
        <f>"4389282671"</f>
        <v>4389282671</v>
      </c>
      <c r="K173" t="s">
        <v>800</v>
      </c>
      <c r="L173" t="s">
        <v>86</v>
      </c>
      <c r="M173" t="s">
        <v>21</v>
      </c>
    </row>
    <row r="174" spans="1:13" x14ac:dyDescent="0.35">
      <c r="A174" t="str">
        <f>"196-5174"</f>
        <v>196-5174</v>
      </c>
      <c r="B174" t="s">
        <v>801</v>
      </c>
      <c r="C174" t="str">
        <f>"6292"</f>
        <v>6292</v>
      </c>
      <c r="D174" t="str">
        <f>"207"</f>
        <v>207</v>
      </c>
      <c r="E174" t="s">
        <v>802</v>
      </c>
      <c r="F174" t="s">
        <v>24</v>
      </c>
      <c r="G174" t="s">
        <v>803</v>
      </c>
      <c r="H174" t="s">
        <v>17</v>
      </c>
      <c r="I174" t="s">
        <v>18</v>
      </c>
      <c r="J174" t="str">
        <f>"4389230766"</f>
        <v>4389230766</v>
      </c>
      <c r="K174" t="s">
        <v>804</v>
      </c>
      <c r="L174" t="s">
        <v>220</v>
      </c>
      <c r="M174" t="s">
        <v>21</v>
      </c>
    </row>
    <row r="175" spans="1:13" x14ac:dyDescent="0.35">
      <c r="A175" t="str">
        <f>"196-5408"</f>
        <v>196-5408</v>
      </c>
      <c r="B175" t="s">
        <v>805</v>
      </c>
      <c r="C175" t="str">
        <f>"1944"</f>
        <v>1944</v>
      </c>
      <c r="D175" t="str">
        <f>"1944"</f>
        <v>1944</v>
      </c>
      <c r="E175" t="s">
        <v>806</v>
      </c>
      <c r="F175" t="s">
        <v>24</v>
      </c>
      <c r="G175" t="s">
        <v>807</v>
      </c>
      <c r="H175" t="s">
        <v>17</v>
      </c>
      <c r="I175" t="s">
        <v>18</v>
      </c>
      <c r="J175" t="str">
        <f>"4382291463"</f>
        <v>4382291463</v>
      </c>
      <c r="K175" t="s">
        <v>808</v>
      </c>
      <c r="L175" t="s">
        <v>193</v>
      </c>
      <c r="M175" t="s">
        <v>21</v>
      </c>
    </row>
    <row r="176" spans="1:13" x14ac:dyDescent="0.35">
      <c r="A176" t="str">
        <f>"197-2160"</f>
        <v>197-2160</v>
      </c>
      <c r="B176" t="s">
        <v>809</v>
      </c>
      <c r="C176" t="str">
        <f>"160"</f>
        <v>160</v>
      </c>
      <c r="E176" t="s">
        <v>810</v>
      </c>
      <c r="F176" t="s">
        <v>32</v>
      </c>
      <c r="G176" t="s">
        <v>811</v>
      </c>
      <c r="H176" t="s">
        <v>17</v>
      </c>
      <c r="I176" t="s">
        <v>18</v>
      </c>
      <c r="J176" t="str">
        <f>"4384669424"</f>
        <v>4384669424</v>
      </c>
      <c r="K176" t="s">
        <v>812</v>
      </c>
      <c r="L176" t="s">
        <v>396</v>
      </c>
      <c r="M176" t="s">
        <v>21</v>
      </c>
    </row>
    <row r="177" spans="1:13" x14ac:dyDescent="0.35">
      <c r="A177" t="str">
        <f>"197-7360"</f>
        <v>197-7360</v>
      </c>
      <c r="B177" t="s">
        <v>813</v>
      </c>
      <c r="C177" t="str">
        <f>"6825"</f>
        <v>6825</v>
      </c>
      <c r="D177" t="str">
        <f>"4"</f>
        <v>4</v>
      </c>
      <c r="E177" t="s">
        <v>814</v>
      </c>
      <c r="F177" t="s">
        <v>24</v>
      </c>
      <c r="G177" t="s">
        <v>815</v>
      </c>
      <c r="H177" t="s">
        <v>17</v>
      </c>
      <c r="I177" t="s">
        <v>18</v>
      </c>
      <c r="J177" t="str">
        <f>"5147013378"</f>
        <v>5147013378</v>
      </c>
      <c r="K177" t="s">
        <v>816</v>
      </c>
      <c r="L177" t="s">
        <v>168</v>
      </c>
      <c r="M177" t="s">
        <v>21</v>
      </c>
    </row>
    <row r="178" spans="1:13" x14ac:dyDescent="0.35">
      <c r="A178" t="str">
        <f>"197-8647"</f>
        <v>197-8647</v>
      </c>
      <c r="B178" t="s">
        <v>817</v>
      </c>
      <c r="C178" t="str">
        <f>"8986"</f>
        <v>8986</v>
      </c>
      <c r="E178" t="s">
        <v>818</v>
      </c>
      <c r="F178" t="s">
        <v>24</v>
      </c>
      <c r="G178" t="s">
        <v>819</v>
      </c>
      <c r="H178" t="s">
        <v>17</v>
      </c>
      <c r="I178" t="s">
        <v>18</v>
      </c>
      <c r="J178" t="str">
        <f>"4389219083"</f>
        <v>4389219083</v>
      </c>
      <c r="K178" t="s">
        <v>820</v>
      </c>
      <c r="L178" t="s">
        <v>145</v>
      </c>
      <c r="M178" t="s">
        <v>21</v>
      </c>
    </row>
    <row r="179" spans="1:13" x14ac:dyDescent="0.35">
      <c r="A179" t="str">
        <f>"194-0566"</f>
        <v>194-0566</v>
      </c>
      <c r="B179" t="s">
        <v>821</v>
      </c>
      <c r="C179" t="str">
        <f>"6160"</f>
        <v>6160</v>
      </c>
      <c r="D179" t="str">
        <f>"A"</f>
        <v>A</v>
      </c>
      <c r="E179" t="s">
        <v>822</v>
      </c>
      <c r="F179" t="s">
        <v>24</v>
      </c>
      <c r="G179" t="s">
        <v>823</v>
      </c>
      <c r="H179" t="s">
        <v>17</v>
      </c>
      <c r="I179" t="s">
        <v>18</v>
      </c>
      <c r="J179" t="str">
        <f>"4182150443"</f>
        <v>4182150443</v>
      </c>
      <c r="K179" t="s">
        <v>824</v>
      </c>
      <c r="L179" t="s">
        <v>313</v>
      </c>
      <c r="M179" t="s">
        <v>21</v>
      </c>
    </row>
    <row r="180" spans="1:13" x14ac:dyDescent="0.35">
      <c r="A180" t="str">
        <f>"184-7458"</f>
        <v>184-7458</v>
      </c>
      <c r="B180" t="s">
        <v>825</v>
      </c>
      <c r="C180" t="str">
        <f>"3420"</f>
        <v>3420</v>
      </c>
      <c r="D180" t="str">
        <f>"201"</f>
        <v>201</v>
      </c>
      <c r="E180" t="s">
        <v>826</v>
      </c>
      <c r="F180" t="s">
        <v>54</v>
      </c>
      <c r="G180" t="s">
        <v>827</v>
      </c>
      <c r="H180" t="s">
        <v>17</v>
      </c>
      <c r="I180" t="s">
        <v>18</v>
      </c>
      <c r="J180" t="str">
        <f>"4389203435"</f>
        <v>4389203435</v>
      </c>
      <c r="K180" t="s">
        <v>828</v>
      </c>
      <c r="L180" t="s">
        <v>198</v>
      </c>
      <c r="M180" t="s">
        <v>21</v>
      </c>
    </row>
    <row r="181" spans="1:13" x14ac:dyDescent="0.35">
      <c r="A181" t="str">
        <f>"194-1433"</f>
        <v>194-1433</v>
      </c>
      <c r="B181" t="s">
        <v>829</v>
      </c>
      <c r="C181" t="str">
        <f>"4425"</f>
        <v>4425</v>
      </c>
      <c r="D181" t="str">
        <f>"4"</f>
        <v>4</v>
      </c>
      <c r="E181" t="s">
        <v>830</v>
      </c>
      <c r="F181" t="s">
        <v>24</v>
      </c>
      <c r="G181" t="s">
        <v>831</v>
      </c>
      <c r="H181" t="s">
        <v>17</v>
      </c>
      <c r="I181" t="s">
        <v>18</v>
      </c>
      <c r="J181" t="str">
        <f>"5147300846"</f>
        <v>5147300846</v>
      </c>
      <c r="K181" t="s">
        <v>832</v>
      </c>
      <c r="L181" t="s">
        <v>220</v>
      </c>
      <c r="M181" t="s">
        <v>21</v>
      </c>
    </row>
    <row r="182" spans="1:13" x14ac:dyDescent="0.35">
      <c r="A182" t="str">
        <f>"196-1377"</f>
        <v>196-1377</v>
      </c>
      <c r="B182" t="s">
        <v>833</v>
      </c>
      <c r="C182" t="str">
        <f>"3070"</f>
        <v>3070</v>
      </c>
      <c r="D182" t="str">
        <f>"7"</f>
        <v>7</v>
      </c>
      <c r="E182" t="s">
        <v>834</v>
      </c>
      <c r="F182" t="s">
        <v>24</v>
      </c>
      <c r="G182" t="s">
        <v>214</v>
      </c>
      <c r="H182" t="s">
        <v>17</v>
      </c>
      <c r="I182" t="s">
        <v>18</v>
      </c>
      <c r="J182" t="str">
        <f>"4389909430"</f>
        <v>4389909430</v>
      </c>
      <c r="K182" t="s">
        <v>835</v>
      </c>
      <c r="L182" t="s">
        <v>588</v>
      </c>
      <c r="M182" t="s">
        <v>21</v>
      </c>
    </row>
    <row r="183" spans="1:13" x14ac:dyDescent="0.35">
      <c r="A183" t="str">
        <f>"199-4366"</f>
        <v>199-4366</v>
      </c>
      <c r="B183" t="s">
        <v>836</v>
      </c>
      <c r="C183" t="str">
        <f>"5039"</f>
        <v>5039</v>
      </c>
      <c r="D183" t="str">
        <f>"04"</f>
        <v>04</v>
      </c>
      <c r="E183" t="s">
        <v>837</v>
      </c>
      <c r="F183" t="s">
        <v>24</v>
      </c>
      <c r="G183" t="s">
        <v>838</v>
      </c>
      <c r="H183" t="s">
        <v>17</v>
      </c>
      <c r="I183" t="s">
        <v>18</v>
      </c>
      <c r="J183" t="str">
        <f>"5146329702"</f>
        <v>5146329702</v>
      </c>
      <c r="K183" t="s">
        <v>839</v>
      </c>
      <c r="L183" t="s">
        <v>27</v>
      </c>
      <c r="M183" t="s">
        <v>21</v>
      </c>
    </row>
    <row r="184" spans="1:13" x14ac:dyDescent="0.35">
      <c r="A184" t="str">
        <f>"168-4427"</f>
        <v>168-4427</v>
      </c>
      <c r="B184" t="s">
        <v>842</v>
      </c>
      <c r="C184" t="str">
        <f>"7954"</f>
        <v>7954</v>
      </c>
      <c r="E184" t="s">
        <v>843</v>
      </c>
      <c r="F184" t="s">
        <v>24</v>
      </c>
      <c r="G184" t="s">
        <v>844</v>
      </c>
      <c r="H184" t="s">
        <v>17</v>
      </c>
      <c r="I184" t="s">
        <v>18</v>
      </c>
      <c r="J184" t="str">
        <f>"5147952396"</f>
        <v>5147952396</v>
      </c>
      <c r="K184" t="s">
        <v>845</v>
      </c>
      <c r="L184" t="s">
        <v>76</v>
      </c>
      <c r="M184" t="s">
        <v>21</v>
      </c>
    </row>
    <row r="185" spans="1:13" x14ac:dyDescent="0.35">
      <c r="A185" t="str">
        <f>"130-1494"</f>
        <v>130-1494</v>
      </c>
      <c r="B185" t="s">
        <v>846</v>
      </c>
      <c r="C185" t="str">
        <f>"7805"</f>
        <v>7805</v>
      </c>
      <c r="D185" t="str">
        <f>"115"</f>
        <v>115</v>
      </c>
      <c r="E185" t="s">
        <v>847</v>
      </c>
      <c r="F185" t="s">
        <v>40</v>
      </c>
      <c r="G185" t="s">
        <v>848</v>
      </c>
      <c r="H185" t="s">
        <v>17</v>
      </c>
      <c r="I185" t="s">
        <v>18</v>
      </c>
      <c r="J185" t="str">
        <f>"5142432965"</f>
        <v>5142432965</v>
      </c>
      <c r="K185" t="s">
        <v>849</v>
      </c>
      <c r="L185" t="s">
        <v>27</v>
      </c>
      <c r="M185" t="s">
        <v>21</v>
      </c>
    </row>
    <row r="186" spans="1:13" x14ac:dyDescent="0.35">
      <c r="A186" t="str">
        <f>"138-9029"</f>
        <v>138-9029</v>
      </c>
      <c r="B186" t="s">
        <v>850</v>
      </c>
      <c r="C186" t="str">
        <f>"2563"</f>
        <v>2563</v>
      </c>
      <c r="D186" t="str">
        <f>"1"</f>
        <v>1</v>
      </c>
      <c r="E186" t="s">
        <v>281</v>
      </c>
      <c r="F186" t="s">
        <v>24</v>
      </c>
      <c r="G186" t="s">
        <v>851</v>
      </c>
      <c r="H186" t="s">
        <v>17</v>
      </c>
      <c r="I186" t="s">
        <v>18</v>
      </c>
      <c r="J186" t="str">
        <f>"2633887287"</f>
        <v>2633887287</v>
      </c>
      <c r="K186" t="s">
        <v>852</v>
      </c>
      <c r="L186" t="s">
        <v>198</v>
      </c>
      <c r="M186" t="s">
        <v>21</v>
      </c>
    </row>
    <row r="187" spans="1:13" x14ac:dyDescent="0.35">
      <c r="A187" t="str">
        <f>"165-0419"</f>
        <v>165-0419</v>
      </c>
      <c r="B187" t="s">
        <v>853</v>
      </c>
      <c r="C187" t="str">
        <f>"3001"</f>
        <v>3001</v>
      </c>
      <c r="E187" t="s">
        <v>854</v>
      </c>
      <c r="F187" t="s">
        <v>54</v>
      </c>
      <c r="G187" t="s">
        <v>855</v>
      </c>
      <c r="H187" t="s">
        <v>17</v>
      </c>
      <c r="I187" t="s">
        <v>18</v>
      </c>
      <c r="J187" t="str">
        <f>"5147915941"</f>
        <v>5147915941</v>
      </c>
      <c r="K187" t="s">
        <v>856</v>
      </c>
      <c r="L187" t="s">
        <v>220</v>
      </c>
      <c r="M187" t="s">
        <v>21</v>
      </c>
    </row>
    <row r="188" spans="1:13" x14ac:dyDescent="0.35">
      <c r="A188" t="str">
        <f>"183-2337"</f>
        <v>183-2337</v>
      </c>
      <c r="B188" t="s">
        <v>857</v>
      </c>
      <c r="C188" t="str">
        <f>"11132"</f>
        <v>11132</v>
      </c>
      <c r="E188" t="s">
        <v>226</v>
      </c>
      <c r="F188" t="s">
        <v>24</v>
      </c>
      <c r="G188" t="s">
        <v>858</v>
      </c>
      <c r="H188" t="s">
        <v>17</v>
      </c>
      <c r="I188" t="s">
        <v>18</v>
      </c>
      <c r="J188" t="str">
        <f>"4389254103"</f>
        <v>4389254103</v>
      </c>
      <c r="K188" t="s">
        <v>859</v>
      </c>
      <c r="L188" t="s">
        <v>220</v>
      </c>
      <c r="M188" t="s">
        <v>21</v>
      </c>
    </row>
    <row r="189" spans="1:13" x14ac:dyDescent="0.35">
      <c r="A189" t="str">
        <f>"193-8703"</f>
        <v>193-8703</v>
      </c>
      <c r="B189" t="s">
        <v>860</v>
      </c>
      <c r="C189" t="str">
        <f>"15612"</f>
        <v>15612</v>
      </c>
      <c r="E189" t="s">
        <v>861</v>
      </c>
      <c r="F189" t="s">
        <v>24</v>
      </c>
      <c r="G189" t="s">
        <v>862</v>
      </c>
      <c r="H189" t="s">
        <v>17</v>
      </c>
      <c r="I189" t="s">
        <v>18</v>
      </c>
      <c r="J189" t="str">
        <f>"5142972002"</f>
        <v>5142972002</v>
      </c>
      <c r="K189" t="s">
        <v>863</v>
      </c>
      <c r="L189" t="s">
        <v>396</v>
      </c>
      <c r="M189" t="s">
        <v>21</v>
      </c>
    </row>
    <row r="190" spans="1:13" x14ac:dyDescent="0.35">
      <c r="A190" t="str">
        <f>"197-0453"</f>
        <v>197-0453</v>
      </c>
      <c r="B190" t="s">
        <v>864</v>
      </c>
      <c r="C190" t="str">
        <f>"925"</f>
        <v>925</v>
      </c>
      <c r="D190" t="str">
        <f>"212"</f>
        <v>212</v>
      </c>
      <c r="E190" t="s">
        <v>865</v>
      </c>
      <c r="F190" t="s">
        <v>866</v>
      </c>
      <c r="G190" t="s">
        <v>867</v>
      </c>
      <c r="H190" t="s">
        <v>17</v>
      </c>
      <c r="I190" t="s">
        <v>18</v>
      </c>
      <c r="J190" t="str">
        <f>"5144521318"</f>
        <v>5144521318</v>
      </c>
      <c r="K190" t="s">
        <v>868</v>
      </c>
      <c r="L190" t="s">
        <v>76</v>
      </c>
      <c r="M190" t="s">
        <v>21</v>
      </c>
    </row>
    <row r="191" spans="1:13" x14ac:dyDescent="0.35">
      <c r="A191" t="str">
        <f>"615-3814"</f>
        <v>615-3814</v>
      </c>
      <c r="B191" t="s">
        <v>870</v>
      </c>
      <c r="C191" t="str">
        <f>"2862"</f>
        <v>2862</v>
      </c>
      <c r="E191" t="s">
        <v>871</v>
      </c>
      <c r="F191" t="s">
        <v>24</v>
      </c>
      <c r="G191" t="s">
        <v>872</v>
      </c>
      <c r="H191" t="s">
        <v>17</v>
      </c>
      <c r="I191" t="s">
        <v>18</v>
      </c>
      <c r="J191" t="str">
        <f>"4384995690"</f>
        <v>4384995690</v>
      </c>
      <c r="K191" t="s">
        <v>873</v>
      </c>
      <c r="L191" t="s">
        <v>874</v>
      </c>
      <c r="M191" t="s">
        <v>21</v>
      </c>
    </row>
    <row r="192" spans="1:13" x14ac:dyDescent="0.35">
      <c r="A192" t="str">
        <f>"199-3156"</f>
        <v>199-3156</v>
      </c>
      <c r="B192" t="s">
        <v>875</v>
      </c>
      <c r="C192" t="str">
        <f>"5385"</f>
        <v>5385</v>
      </c>
      <c r="D192" t="str">
        <f>"431"</f>
        <v>431</v>
      </c>
      <c r="E192" t="s">
        <v>694</v>
      </c>
      <c r="F192" t="s">
        <v>24</v>
      </c>
      <c r="G192" t="s">
        <v>876</v>
      </c>
      <c r="H192" t="s">
        <v>17</v>
      </c>
      <c r="I192" t="s">
        <v>18</v>
      </c>
      <c r="J192" t="str">
        <f>"5144245161"</f>
        <v>5144245161</v>
      </c>
      <c r="K192" t="s">
        <v>877</v>
      </c>
      <c r="L192" t="s">
        <v>220</v>
      </c>
      <c r="M192" t="s">
        <v>21</v>
      </c>
    </row>
    <row r="193" spans="1:13" x14ac:dyDescent="0.35">
      <c r="A193" t="str">
        <f>"193-6801"</f>
        <v>193-6801</v>
      </c>
      <c r="B193" t="s">
        <v>878</v>
      </c>
      <c r="C193" t="str">
        <f>"7705"</f>
        <v>7705</v>
      </c>
      <c r="D193" t="str">
        <f>"1102"</f>
        <v>1102</v>
      </c>
      <c r="E193" t="s">
        <v>879</v>
      </c>
      <c r="F193" t="s">
        <v>24</v>
      </c>
      <c r="G193" t="s">
        <v>880</v>
      </c>
      <c r="H193" t="s">
        <v>17</v>
      </c>
      <c r="I193" t="s">
        <v>18</v>
      </c>
      <c r="J193" t="str">
        <f>"5144348210"</f>
        <v>5144348210</v>
      </c>
      <c r="K193" t="s">
        <v>881</v>
      </c>
      <c r="L193" t="s">
        <v>313</v>
      </c>
      <c r="M193" t="s">
        <v>21</v>
      </c>
    </row>
    <row r="194" spans="1:13" x14ac:dyDescent="0.35">
      <c r="A194" t="str">
        <f>"200-3074"</f>
        <v>200-3074</v>
      </c>
      <c r="B194" t="s">
        <v>882</v>
      </c>
      <c r="C194" t="str">
        <f>"3460"</f>
        <v>3460</v>
      </c>
      <c r="D194" t="str">
        <f>"1601"</f>
        <v>1601</v>
      </c>
      <c r="E194" t="s">
        <v>883</v>
      </c>
      <c r="F194" t="s">
        <v>24</v>
      </c>
      <c r="G194" t="s">
        <v>884</v>
      </c>
      <c r="H194" t="s">
        <v>17</v>
      </c>
      <c r="I194" t="s">
        <v>18</v>
      </c>
      <c r="J194" t="str">
        <f>"4384887460"</f>
        <v>4384887460</v>
      </c>
      <c r="K194" t="s">
        <v>885</v>
      </c>
      <c r="L194" t="s">
        <v>168</v>
      </c>
      <c r="M194" t="s">
        <v>21</v>
      </c>
    </row>
    <row r="195" spans="1:13" x14ac:dyDescent="0.35">
      <c r="A195" t="str">
        <f>"200-3615"</f>
        <v>200-3615</v>
      </c>
      <c r="B195" t="s">
        <v>886</v>
      </c>
      <c r="C195" t="str">
        <f>"2840"</f>
        <v>2840</v>
      </c>
      <c r="D195" t="str">
        <f>"34"</f>
        <v>34</v>
      </c>
      <c r="E195" t="s">
        <v>632</v>
      </c>
      <c r="F195" t="s">
        <v>24</v>
      </c>
      <c r="G195" t="s">
        <v>633</v>
      </c>
      <c r="H195" t="s">
        <v>17</v>
      </c>
      <c r="I195" t="s">
        <v>18</v>
      </c>
      <c r="J195" t="str">
        <f>"5142924643"</f>
        <v>5142924643</v>
      </c>
      <c r="K195" t="s">
        <v>887</v>
      </c>
      <c r="L195" t="s">
        <v>76</v>
      </c>
      <c r="M195" t="s">
        <v>21</v>
      </c>
    </row>
    <row r="196" spans="1:13" x14ac:dyDescent="0.35">
      <c r="A196" t="str">
        <f>"155-6108"</f>
        <v>155-6108</v>
      </c>
      <c r="B196" t="s">
        <v>888</v>
      </c>
      <c r="C196" t="str">
        <f>"1675"</f>
        <v>1675</v>
      </c>
      <c r="D196" t="str">
        <f>"103"</f>
        <v>103</v>
      </c>
      <c r="E196" t="s">
        <v>889</v>
      </c>
      <c r="F196" t="s">
        <v>24</v>
      </c>
      <c r="G196" t="s">
        <v>890</v>
      </c>
      <c r="H196" t="s">
        <v>17</v>
      </c>
      <c r="I196" t="s">
        <v>18</v>
      </c>
      <c r="J196" t="str">
        <f>"4384031675"</f>
        <v>4384031675</v>
      </c>
      <c r="K196" t="s">
        <v>891</v>
      </c>
      <c r="L196" t="s">
        <v>76</v>
      </c>
      <c r="M196" t="s">
        <v>21</v>
      </c>
    </row>
    <row r="197" spans="1:13" x14ac:dyDescent="0.35">
      <c r="A197" t="str">
        <f>"157-2789"</f>
        <v>157-2789</v>
      </c>
      <c r="B197" t="s">
        <v>892</v>
      </c>
      <c r="C197" t="str">
        <f>"5202"</f>
        <v>5202</v>
      </c>
      <c r="E197" t="s">
        <v>893</v>
      </c>
      <c r="F197" t="s">
        <v>24</v>
      </c>
      <c r="G197" t="s">
        <v>894</v>
      </c>
      <c r="H197" t="s">
        <v>17</v>
      </c>
      <c r="I197" t="s">
        <v>18</v>
      </c>
      <c r="J197" t="str">
        <f>"5144657152"</f>
        <v>5144657152</v>
      </c>
      <c r="K197" t="s">
        <v>895</v>
      </c>
      <c r="L197" t="s">
        <v>220</v>
      </c>
      <c r="M197" t="s">
        <v>21</v>
      </c>
    </row>
    <row r="198" spans="1:13" x14ac:dyDescent="0.35">
      <c r="A198" t="str">
        <f>"187-5576"</f>
        <v>187-5576</v>
      </c>
      <c r="B198" t="s">
        <v>896</v>
      </c>
      <c r="C198" t="str">
        <f>"2450"</f>
        <v>2450</v>
      </c>
      <c r="E198" t="s">
        <v>897</v>
      </c>
      <c r="F198" t="s">
        <v>24</v>
      </c>
      <c r="G198" t="s">
        <v>898</v>
      </c>
      <c r="H198" t="s">
        <v>17</v>
      </c>
      <c r="I198" t="s">
        <v>18</v>
      </c>
      <c r="J198" t="str">
        <f>"5145773184"</f>
        <v>5145773184</v>
      </c>
      <c r="K198" t="s">
        <v>899</v>
      </c>
      <c r="L198" t="s">
        <v>76</v>
      </c>
      <c r="M198" t="s">
        <v>21</v>
      </c>
    </row>
    <row r="199" spans="1:13" x14ac:dyDescent="0.35">
      <c r="A199" t="str">
        <f>"197-2057"</f>
        <v>197-2057</v>
      </c>
      <c r="B199" t="s">
        <v>900</v>
      </c>
      <c r="C199" t="str">
        <f>"7821"</f>
        <v>7821</v>
      </c>
      <c r="E199" t="s">
        <v>901</v>
      </c>
      <c r="F199" t="s">
        <v>24</v>
      </c>
      <c r="G199" t="s">
        <v>902</v>
      </c>
      <c r="H199" t="s">
        <v>17</v>
      </c>
      <c r="I199" t="s">
        <v>18</v>
      </c>
      <c r="J199" t="str">
        <f>"5145752983"</f>
        <v>5145752983</v>
      </c>
      <c r="K199" t="s">
        <v>903</v>
      </c>
      <c r="L199" t="s">
        <v>193</v>
      </c>
      <c r="M199" t="s">
        <v>21</v>
      </c>
    </row>
    <row r="200" spans="1:13" x14ac:dyDescent="0.35">
      <c r="A200" t="str">
        <f>"133-1200"</f>
        <v>133-1200</v>
      </c>
      <c r="B200" t="s">
        <v>904</v>
      </c>
      <c r="C200" t="str">
        <f>"9040"</f>
        <v>9040</v>
      </c>
      <c r="E200" t="s">
        <v>905</v>
      </c>
      <c r="F200" t="s">
        <v>24</v>
      </c>
      <c r="G200" t="s">
        <v>906</v>
      </c>
      <c r="H200" t="s">
        <v>17</v>
      </c>
      <c r="I200" t="s">
        <v>18</v>
      </c>
      <c r="J200" t="str">
        <f>"5142312298"</f>
        <v>5142312298</v>
      </c>
      <c r="K200" t="s">
        <v>907</v>
      </c>
      <c r="L200" t="s">
        <v>70</v>
      </c>
      <c r="M200" t="s">
        <v>21</v>
      </c>
    </row>
    <row r="201" spans="1:13" x14ac:dyDescent="0.35">
      <c r="A201" t="str">
        <f>"209-9000"</f>
        <v>209-9000</v>
      </c>
      <c r="B201" t="s">
        <v>908</v>
      </c>
      <c r="C201" t="str">
        <f>"325"</f>
        <v>325</v>
      </c>
      <c r="D201" t="str">
        <f>"8"</f>
        <v>8</v>
      </c>
      <c r="E201" t="s">
        <v>909</v>
      </c>
      <c r="F201" t="s">
        <v>54</v>
      </c>
      <c r="G201" t="s">
        <v>910</v>
      </c>
      <c r="H201" t="s">
        <v>17</v>
      </c>
      <c r="I201" t="s">
        <v>18</v>
      </c>
      <c r="J201" t="str">
        <f>"4388353707"</f>
        <v>4388353707</v>
      </c>
      <c r="K201" t="s">
        <v>911</v>
      </c>
      <c r="L201" t="s">
        <v>350</v>
      </c>
      <c r="M201" t="s">
        <v>21</v>
      </c>
    </row>
    <row r="202" spans="1:13" x14ac:dyDescent="0.35">
      <c r="A202" t="str">
        <f>"197-3509"</f>
        <v>197-3509</v>
      </c>
      <c r="B202" t="s">
        <v>912</v>
      </c>
      <c r="C202" t="str">
        <f>"7882"</f>
        <v>7882</v>
      </c>
      <c r="E202" t="s">
        <v>913</v>
      </c>
      <c r="F202" t="s">
        <v>24</v>
      </c>
      <c r="G202" t="s">
        <v>914</v>
      </c>
      <c r="H202" t="s">
        <v>17</v>
      </c>
      <c r="I202" t="s">
        <v>18</v>
      </c>
      <c r="J202" t="str">
        <f>"4382235945"</f>
        <v>4382235945</v>
      </c>
      <c r="K202" t="s">
        <v>915</v>
      </c>
      <c r="L202" t="s">
        <v>220</v>
      </c>
      <c r="M202" t="s">
        <v>21</v>
      </c>
    </row>
    <row r="203" spans="1:13" x14ac:dyDescent="0.35">
      <c r="A203" t="str">
        <f>"201-6069"</f>
        <v>201-6069</v>
      </c>
      <c r="B203" t="s">
        <v>916</v>
      </c>
      <c r="C203" t="str">
        <f>"9444"</f>
        <v>9444</v>
      </c>
      <c r="D203" t="str">
        <f>"115"</f>
        <v>115</v>
      </c>
      <c r="E203" t="s">
        <v>917</v>
      </c>
      <c r="F203" t="s">
        <v>24</v>
      </c>
      <c r="G203" t="s">
        <v>918</v>
      </c>
      <c r="H203" t="s">
        <v>17</v>
      </c>
      <c r="I203" t="s">
        <v>18</v>
      </c>
      <c r="J203" t="str">
        <f>"4389236046"</f>
        <v>4389236046</v>
      </c>
      <c r="K203" t="s">
        <v>919</v>
      </c>
      <c r="L203" t="s">
        <v>76</v>
      </c>
      <c r="M203" t="s">
        <v>21</v>
      </c>
    </row>
    <row r="204" spans="1:13" x14ac:dyDescent="0.35">
      <c r="A204" t="str">
        <f>"201-4094"</f>
        <v>201-4094</v>
      </c>
      <c r="B204" t="s">
        <v>922</v>
      </c>
      <c r="C204" t="str">
        <f>"7020"</f>
        <v>7020</v>
      </c>
      <c r="E204" t="s">
        <v>923</v>
      </c>
      <c r="F204" t="s">
        <v>24</v>
      </c>
      <c r="G204" t="s">
        <v>924</v>
      </c>
      <c r="H204" t="s">
        <v>17</v>
      </c>
      <c r="I204" t="s">
        <v>18</v>
      </c>
      <c r="J204" t="str">
        <f>"4382264309"</f>
        <v>4382264309</v>
      </c>
      <c r="K204" t="s">
        <v>925</v>
      </c>
      <c r="L204" t="s">
        <v>76</v>
      </c>
      <c r="M204" t="s">
        <v>21</v>
      </c>
    </row>
    <row r="205" spans="1:13" x14ac:dyDescent="0.35">
      <c r="A205" t="str">
        <f>"193-6612"</f>
        <v>193-6612</v>
      </c>
      <c r="B205" t="s">
        <v>927</v>
      </c>
      <c r="C205" t="str">
        <f>"10551"</f>
        <v>10551</v>
      </c>
      <c r="E205" t="s">
        <v>226</v>
      </c>
      <c r="F205" t="s">
        <v>24</v>
      </c>
      <c r="G205" t="s">
        <v>928</v>
      </c>
      <c r="H205" t="s">
        <v>17</v>
      </c>
      <c r="I205" t="s">
        <v>18</v>
      </c>
      <c r="J205" t="str">
        <f>"5148124921"</f>
        <v>5148124921</v>
      </c>
      <c r="K205" t="s">
        <v>929</v>
      </c>
      <c r="L205" t="s">
        <v>168</v>
      </c>
      <c r="M205" t="s">
        <v>21</v>
      </c>
    </row>
    <row r="206" spans="1:13" x14ac:dyDescent="0.35">
      <c r="A206" t="str">
        <f>"200-8708"</f>
        <v>200-8708</v>
      </c>
      <c r="B206" t="s">
        <v>930</v>
      </c>
      <c r="C206" t="str">
        <f>"7506"</f>
        <v>7506</v>
      </c>
      <c r="E206" t="s">
        <v>931</v>
      </c>
      <c r="F206" t="s">
        <v>40</v>
      </c>
      <c r="G206" t="s">
        <v>932</v>
      </c>
      <c r="H206" t="s">
        <v>17</v>
      </c>
      <c r="I206" t="s">
        <v>18</v>
      </c>
      <c r="J206" t="str">
        <f>"4383946979"</f>
        <v>4383946979</v>
      </c>
      <c r="K206" t="s">
        <v>933</v>
      </c>
      <c r="L206" t="s">
        <v>70</v>
      </c>
      <c r="M206" t="s">
        <v>21</v>
      </c>
    </row>
    <row r="207" spans="1:13" x14ac:dyDescent="0.35">
      <c r="A207" t="str">
        <f>"125-1809"</f>
        <v>125-1809</v>
      </c>
      <c r="B207" t="s">
        <v>934</v>
      </c>
      <c r="C207" t="str">
        <f>"35"</f>
        <v>35</v>
      </c>
      <c r="E207" t="s">
        <v>935</v>
      </c>
      <c r="F207" t="s">
        <v>682</v>
      </c>
      <c r="G207" t="s">
        <v>936</v>
      </c>
      <c r="H207" t="s">
        <v>17</v>
      </c>
      <c r="I207" t="s">
        <v>18</v>
      </c>
      <c r="J207" t="str">
        <f>"5148394989"</f>
        <v>5148394989</v>
      </c>
      <c r="K207" t="s">
        <v>937</v>
      </c>
      <c r="L207" t="s">
        <v>220</v>
      </c>
      <c r="M207" t="s">
        <v>21</v>
      </c>
    </row>
    <row r="208" spans="1:13" x14ac:dyDescent="0.35">
      <c r="A208" t="str">
        <f>"140-8700"</f>
        <v>140-8700</v>
      </c>
      <c r="B208" t="s">
        <v>938</v>
      </c>
      <c r="C208" t="str">
        <f>"1781"</f>
        <v>1781</v>
      </c>
      <c r="E208" t="s">
        <v>519</v>
      </c>
      <c r="F208" t="s">
        <v>24</v>
      </c>
      <c r="G208" t="s">
        <v>939</v>
      </c>
      <c r="H208" t="s">
        <v>17</v>
      </c>
      <c r="I208" t="s">
        <v>18</v>
      </c>
      <c r="J208" t="str">
        <f>"4383217026"</f>
        <v>4383217026</v>
      </c>
      <c r="K208" t="s">
        <v>940</v>
      </c>
      <c r="L208" t="s">
        <v>438</v>
      </c>
      <c r="M208" t="s">
        <v>21</v>
      </c>
    </row>
    <row r="209" spans="1:13" x14ac:dyDescent="0.35">
      <c r="A209" t="str">
        <f>"140-7288"</f>
        <v>140-7288</v>
      </c>
      <c r="B209" t="s">
        <v>941</v>
      </c>
      <c r="C209" t="str">
        <f>"1395"</f>
        <v>1395</v>
      </c>
      <c r="D209" t="str">
        <f>"6"</f>
        <v>6</v>
      </c>
      <c r="E209" t="s">
        <v>942</v>
      </c>
      <c r="F209" t="s">
        <v>24</v>
      </c>
      <c r="G209" t="s">
        <v>943</v>
      </c>
      <c r="H209" t="s">
        <v>17</v>
      </c>
      <c r="I209" t="s">
        <v>18</v>
      </c>
      <c r="J209" t="str">
        <f>"5147923773"</f>
        <v>5147923773</v>
      </c>
      <c r="K209" t="s">
        <v>944</v>
      </c>
      <c r="L209" t="s">
        <v>350</v>
      </c>
      <c r="M209" t="s">
        <v>21</v>
      </c>
    </row>
    <row r="210" spans="1:13" x14ac:dyDescent="0.35">
      <c r="A210" t="str">
        <f>"196-8749"</f>
        <v>196-8749</v>
      </c>
      <c r="B210" t="s">
        <v>945</v>
      </c>
      <c r="C210" t="str">
        <f>"5695"</f>
        <v>5695</v>
      </c>
      <c r="E210" t="s">
        <v>946</v>
      </c>
      <c r="F210" t="s">
        <v>24</v>
      </c>
      <c r="G210" t="s">
        <v>947</v>
      </c>
      <c r="H210" t="s">
        <v>17</v>
      </c>
      <c r="I210" t="s">
        <v>18</v>
      </c>
      <c r="J210" t="str">
        <f>"4384918660"</f>
        <v>4384918660</v>
      </c>
      <c r="K210" t="s">
        <v>948</v>
      </c>
      <c r="L210" t="s">
        <v>168</v>
      </c>
      <c r="M210" t="s">
        <v>21</v>
      </c>
    </row>
    <row r="211" spans="1:13" x14ac:dyDescent="0.35">
      <c r="A211" t="str">
        <f>"201-6113"</f>
        <v>201-6113</v>
      </c>
      <c r="B211" t="s">
        <v>950</v>
      </c>
      <c r="C211" t="str">
        <f>"7155"</f>
        <v>7155</v>
      </c>
      <c r="E211" t="s">
        <v>951</v>
      </c>
      <c r="F211" t="s">
        <v>24</v>
      </c>
      <c r="G211" t="s">
        <v>952</v>
      </c>
      <c r="H211" t="s">
        <v>17</v>
      </c>
      <c r="I211" t="s">
        <v>18</v>
      </c>
      <c r="J211" t="str">
        <f>"4382201452"</f>
        <v>4382201452</v>
      </c>
      <c r="K211" t="s">
        <v>953</v>
      </c>
      <c r="L211" t="s">
        <v>168</v>
      </c>
      <c r="M211" t="s">
        <v>21</v>
      </c>
    </row>
    <row r="212" spans="1:13" x14ac:dyDescent="0.35">
      <c r="A212" t="str">
        <f>"197-5250"</f>
        <v>197-5250</v>
      </c>
      <c r="B212" t="s">
        <v>954</v>
      </c>
      <c r="C212" t="str">
        <f>"729"</f>
        <v>729</v>
      </c>
      <c r="E212" t="s">
        <v>955</v>
      </c>
      <c r="F212" t="s">
        <v>54</v>
      </c>
      <c r="G212" t="s">
        <v>956</v>
      </c>
      <c r="H212" t="s">
        <v>17</v>
      </c>
      <c r="I212" t="s">
        <v>18</v>
      </c>
      <c r="J212" t="str">
        <f>"4385025426"</f>
        <v>4385025426</v>
      </c>
      <c r="K212" t="s">
        <v>957</v>
      </c>
      <c r="L212" t="s">
        <v>137</v>
      </c>
      <c r="M212" t="s">
        <v>21</v>
      </c>
    </row>
    <row r="213" spans="1:13" x14ac:dyDescent="0.35">
      <c r="A213" t="str">
        <f>"197-0613"</f>
        <v>197-0613</v>
      </c>
      <c r="B213" t="s">
        <v>958</v>
      </c>
      <c r="C213" t="str">
        <f>"6265"</f>
        <v>6265</v>
      </c>
      <c r="D213" t="str">
        <f>"4"</f>
        <v>4</v>
      </c>
      <c r="E213" t="s">
        <v>959</v>
      </c>
      <c r="F213" t="s">
        <v>24</v>
      </c>
      <c r="G213" t="s">
        <v>960</v>
      </c>
      <c r="H213" t="s">
        <v>17</v>
      </c>
      <c r="I213" t="s">
        <v>18</v>
      </c>
      <c r="J213" t="str">
        <f>"5143491240"</f>
        <v>5143491240</v>
      </c>
      <c r="K213" t="s">
        <v>961</v>
      </c>
      <c r="L213" t="s">
        <v>39</v>
      </c>
      <c r="M213" t="s">
        <v>21</v>
      </c>
    </row>
    <row r="214" spans="1:13" x14ac:dyDescent="0.35">
      <c r="A214" t="str">
        <f>"200-7872"</f>
        <v>200-7872</v>
      </c>
      <c r="B214" t="s">
        <v>962</v>
      </c>
      <c r="C214" t="str">
        <f>"542"</f>
        <v>542</v>
      </c>
      <c r="E214" t="s">
        <v>963</v>
      </c>
      <c r="F214" t="s">
        <v>24</v>
      </c>
      <c r="G214" t="s">
        <v>964</v>
      </c>
      <c r="H214" t="s">
        <v>17</v>
      </c>
      <c r="I214" t="s">
        <v>18</v>
      </c>
      <c r="J214" t="str">
        <f>"5149149393"</f>
        <v>5149149393</v>
      </c>
      <c r="K214" t="s">
        <v>965</v>
      </c>
      <c r="L214" t="s">
        <v>39</v>
      </c>
      <c r="M214" t="s">
        <v>21</v>
      </c>
    </row>
    <row r="215" spans="1:13" x14ac:dyDescent="0.35">
      <c r="A215" t="str">
        <f>"193-8621"</f>
        <v>193-8621</v>
      </c>
      <c r="B215" t="s">
        <v>966</v>
      </c>
      <c r="C215" t="str">
        <f>"122"</f>
        <v>122</v>
      </c>
      <c r="D215" t="str">
        <f>"122"</f>
        <v>122</v>
      </c>
      <c r="E215" t="s">
        <v>967</v>
      </c>
      <c r="F215" t="s">
        <v>54</v>
      </c>
      <c r="G215" t="s">
        <v>968</v>
      </c>
      <c r="H215" t="s">
        <v>17</v>
      </c>
      <c r="I215" t="s">
        <v>18</v>
      </c>
      <c r="J215" t="str">
        <f>"4383461257"</f>
        <v>4383461257</v>
      </c>
      <c r="K215" t="s">
        <v>969</v>
      </c>
      <c r="L215" t="s">
        <v>608</v>
      </c>
      <c r="M215" t="s">
        <v>21</v>
      </c>
    </row>
    <row r="216" spans="1:13" x14ac:dyDescent="0.35">
      <c r="A216" t="str">
        <f>"188-1662"</f>
        <v>188-1662</v>
      </c>
      <c r="B216" t="s">
        <v>970</v>
      </c>
      <c r="C216" t="str">
        <f>"7225"</f>
        <v>7225</v>
      </c>
      <c r="D216" t="str">
        <f>"7"</f>
        <v>7</v>
      </c>
      <c r="E216" t="s">
        <v>286</v>
      </c>
      <c r="F216" t="s">
        <v>24</v>
      </c>
      <c r="G216" t="s">
        <v>971</v>
      </c>
      <c r="H216" t="s">
        <v>17</v>
      </c>
      <c r="I216" t="s">
        <v>18</v>
      </c>
      <c r="J216" t="str">
        <f>"5144343071"</f>
        <v>5144343071</v>
      </c>
      <c r="K216" t="s">
        <v>972</v>
      </c>
      <c r="L216" t="s">
        <v>86</v>
      </c>
      <c r="M216" t="s">
        <v>21</v>
      </c>
    </row>
    <row r="217" spans="1:13" x14ac:dyDescent="0.35">
      <c r="A217" t="str">
        <f>"201-3997"</f>
        <v>201-3997</v>
      </c>
      <c r="B217" t="s">
        <v>973</v>
      </c>
      <c r="C217" t="str">
        <f>"10805"</f>
        <v>10805</v>
      </c>
      <c r="E217" t="s">
        <v>974</v>
      </c>
      <c r="F217" t="s">
        <v>24</v>
      </c>
      <c r="G217" t="s">
        <v>975</v>
      </c>
      <c r="H217" t="s">
        <v>17</v>
      </c>
      <c r="I217" t="s">
        <v>18</v>
      </c>
      <c r="J217" t="str">
        <f>"5142160815"</f>
        <v>5142160815</v>
      </c>
      <c r="K217" t="s">
        <v>976</v>
      </c>
      <c r="L217" t="s">
        <v>76</v>
      </c>
      <c r="M217" t="s">
        <v>21</v>
      </c>
    </row>
    <row r="218" spans="1:13" x14ac:dyDescent="0.35">
      <c r="A218" t="str">
        <f>"201-6717"</f>
        <v>201-6717</v>
      </c>
      <c r="B218" t="s">
        <v>977</v>
      </c>
      <c r="C218" t="str">
        <f>"11660"</f>
        <v>11660</v>
      </c>
      <c r="D218" t="str">
        <f>"5"</f>
        <v>5</v>
      </c>
      <c r="E218" t="s">
        <v>978</v>
      </c>
      <c r="F218" t="s">
        <v>24</v>
      </c>
      <c r="G218" t="s">
        <v>979</v>
      </c>
      <c r="H218" t="s">
        <v>17</v>
      </c>
      <c r="I218" t="s">
        <v>18</v>
      </c>
      <c r="J218" t="str">
        <f>"5145827883"</f>
        <v>5145827883</v>
      </c>
      <c r="K218" t="s">
        <v>980</v>
      </c>
      <c r="L218" t="s">
        <v>168</v>
      </c>
      <c r="M218" t="s">
        <v>21</v>
      </c>
    </row>
    <row r="219" spans="1:13" x14ac:dyDescent="0.35">
      <c r="A219" t="str">
        <f>"202-2115"</f>
        <v>202-2115</v>
      </c>
      <c r="B219" t="s">
        <v>981</v>
      </c>
      <c r="C219" t="str">
        <f>"672"</f>
        <v>672</v>
      </c>
      <c r="E219" t="s">
        <v>982</v>
      </c>
      <c r="F219" t="s">
        <v>24</v>
      </c>
      <c r="G219" t="s">
        <v>983</v>
      </c>
      <c r="H219" t="s">
        <v>17</v>
      </c>
      <c r="I219" t="s">
        <v>18</v>
      </c>
      <c r="J219" t="str">
        <f>"5145820119"</f>
        <v>5145820119</v>
      </c>
      <c r="K219" t="s">
        <v>984</v>
      </c>
      <c r="L219" t="s">
        <v>20</v>
      </c>
      <c r="M219" t="s">
        <v>21</v>
      </c>
    </row>
    <row r="220" spans="1:13" x14ac:dyDescent="0.35">
      <c r="A220" t="str">
        <f>"083-2141"</f>
        <v>083-2141</v>
      </c>
      <c r="B220" t="s">
        <v>985</v>
      </c>
      <c r="C220" t="str">
        <f>"260"</f>
        <v>260</v>
      </c>
      <c r="D220" t="str">
        <f>"5"</f>
        <v>5</v>
      </c>
      <c r="E220" t="s">
        <v>986</v>
      </c>
      <c r="F220" t="s">
        <v>157</v>
      </c>
      <c r="G220" t="s">
        <v>987</v>
      </c>
      <c r="H220" t="s">
        <v>17</v>
      </c>
      <c r="I220" t="s">
        <v>18</v>
      </c>
      <c r="J220" t="str">
        <f>"5147466203"</f>
        <v>5147466203</v>
      </c>
      <c r="K220" t="s">
        <v>988</v>
      </c>
      <c r="L220" t="s">
        <v>20</v>
      </c>
      <c r="M220" t="s">
        <v>21</v>
      </c>
    </row>
    <row r="221" spans="1:13" x14ac:dyDescent="0.35">
      <c r="A221" t="str">
        <f>"185-4169"</f>
        <v>185-4169</v>
      </c>
      <c r="B221" t="s">
        <v>989</v>
      </c>
      <c r="C221" t="str">
        <f>"2412"</f>
        <v>2412</v>
      </c>
      <c r="D221" t="str">
        <f>"38"</f>
        <v>38</v>
      </c>
      <c r="E221" t="s">
        <v>990</v>
      </c>
      <c r="F221" t="s">
        <v>54</v>
      </c>
      <c r="G221" t="s">
        <v>991</v>
      </c>
      <c r="H221" t="s">
        <v>17</v>
      </c>
      <c r="I221" t="s">
        <v>18</v>
      </c>
      <c r="J221" t="str">
        <f>"5145785183"</f>
        <v>5145785183</v>
      </c>
      <c r="K221" t="s">
        <v>992</v>
      </c>
      <c r="L221" t="s">
        <v>39</v>
      </c>
      <c r="M221" t="s">
        <v>21</v>
      </c>
    </row>
    <row r="222" spans="1:13" x14ac:dyDescent="0.35">
      <c r="A222" t="str">
        <f>"165-2794"</f>
        <v>165-2794</v>
      </c>
      <c r="B222" t="s">
        <v>993</v>
      </c>
      <c r="C222" t="str">
        <f>"19"</f>
        <v>19</v>
      </c>
      <c r="E222" t="s">
        <v>994</v>
      </c>
      <c r="F222" t="s">
        <v>32</v>
      </c>
      <c r="G222" t="s">
        <v>995</v>
      </c>
      <c r="H222" t="s">
        <v>17</v>
      </c>
      <c r="I222" t="s">
        <v>18</v>
      </c>
      <c r="J222" t="str">
        <f>"5149733835"</f>
        <v>5149733835</v>
      </c>
      <c r="K222" t="s">
        <v>996</v>
      </c>
      <c r="L222" t="s">
        <v>997</v>
      </c>
      <c r="M222" t="s">
        <v>21</v>
      </c>
    </row>
    <row r="223" spans="1:13" x14ac:dyDescent="0.35">
      <c r="A223" t="str">
        <f>"118-9496"</f>
        <v>118-9496</v>
      </c>
      <c r="B223" t="s">
        <v>998</v>
      </c>
      <c r="C223" t="str">
        <f>"451"</f>
        <v>451</v>
      </c>
      <c r="E223" t="s">
        <v>999</v>
      </c>
      <c r="F223" t="s">
        <v>54</v>
      </c>
      <c r="G223" t="s">
        <v>1000</v>
      </c>
      <c r="H223" t="s">
        <v>17</v>
      </c>
      <c r="I223" t="s">
        <v>18</v>
      </c>
      <c r="J223" t="str">
        <f>"5142246155"</f>
        <v>5142246155</v>
      </c>
      <c r="K223" t="s">
        <v>1001</v>
      </c>
      <c r="L223" t="s">
        <v>39</v>
      </c>
      <c r="M223" t="s">
        <v>21</v>
      </c>
    </row>
    <row r="224" spans="1:13" x14ac:dyDescent="0.35">
      <c r="A224" t="str">
        <f>"205-2297"</f>
        <v>205-2297</v>
      </c>
      <c r="B224" t="s">
        <v>1002</v>
      </c>
      <c r="C224" t="str">
        <f>"10744"</f>
        <v>10744</v>
      </c>
      <c r="E224" t="s">
        <v>1003</v>
      </c>
      <c r="F224" t="s">
        <v>24</v>
      </c>
      <c r="G224" t="s">
        <v>1004</v>
      </c>
      <c r="H224" t="s">
        <v>17</v>
      </c>
      <c r="I224" t="s">
        <v>18</v>
      </c>
      <c r="J224" t="str">
        <f>"5149926438"</f>
        <v>5149926438</v>
      </c>
      <c r="K224" t="s">
        <v>1005</v>
      </c>
      <c r="L224" t="s">
        <v>284</v>
      </c>
      <c r="M224" t="s">
        <v>21</v>
      </c>
    </row>
    <row r="225" spans="1:13" x14ac:dyDescent="0.35">
      <c r="A225" t="str">
        <f>"205-4580"</f>
        <v>205-4580</v>
      </c>
      <c r="B225" t="s">
        <v>1006</v>
      </c>
      <c r="C225" t="str">
        <f>"8715"</f>
        <v>8715</v>
      </c>
      <c r="E225" t="s">
        <v>978</v>
      </c>
      <c r="F225" t="s">
        <v>24</v>
      </c>
      <c r="G225" t="s">
        <v>1007</v>
      </c>
      <c r="H225" t="s">
        <v>17</v>
      </c>
      <c r="I225" t="s">
        <v>18</v>
      </c>
      <c r="J225" t="str">
        <f>"5142335548"</f>
        <v>5142335548</v>
      </c>
      <c r="K225" t="s">
        <v>1008</v>
      </c>
      <c r="L225" t="s">
        <v>350</v>
      </c>
      <c r="M225" t="s">
        <v>21</v>
      </c>
    </row>
    <row r="226" spans="1:13" x14ac:dyDescent="0.35">
      <c r="A226" t="str">
        <f>"203-9047"</f>
        <v>203-9047</v>
      </c>
      <c r="B226" t="s">
        <v>1009</v>
      </c>
      <c r="C226" t="str">
        <f>"6600"</f>
        <v>6600</v>
      </c>
      <c r="D226" t="str">
        <f>"01"</f>
        <v>01</v>
      </c>
      <c r="E226" t="s">
        <v>1010</v>
      </c>
      <c r="F226" t="s">
        <v>24</v>
      </c>
      <c r="G226" t="s">
        <v>1011</v>
      </c>
      <c r="H226" t="s">
        <v>17</v>
      </c>
      <c r="I226" t="s">
        <v>18</v>
      </c>
      <c r="J226" t="str">
        <f>"4382206407"</f>
        <v>4382206407</v>
      </c>
      <c r="K226" t="s">
        <v>1012</v>
      </c>
      <c r="L226" t="s">
        <v>29</v>
      </c>
      <c r="M226" t="s">
        <v>21</v>
      </c>
    </row>
    <row r="227" spans="1:13" x14ac:dyDescent="0.35">
      <c r="A227" t="str">
        <f>"205-9191"</f>
        <v>205-9191</v>
      </c>
      <c r="B227" t="s">
        <v>1013</v>
      </c>
      <c r="C227" t="str">
        <f>"7501"</f>
        <v>7501</v>
      </c>
      <c r="D227" t="str">
        <f>"2"</f>
        <v>2</v>
      </c>
      <c r="E227" t="s">
        <v>67</v>
      </c>
      <c r="F227" t="s">
        <v>24</v>
      </c>
      <c r="G227" t="s">
        <v>1014</v>
      </c>
      <c r="H227" t="s">
        <v>17</v>
      </c>
      <c r="I227" t="s">
        <v>18</v>
      </c>
      <c r="J227" t="str">
        <f>"4388672424"</f>
        <v>4388672424</v>
      </c>
      <c r="K227" t="s">
        <v>1015</v>
      </c>
      <c r="L227" t="s">
        <v>27</v>
      </c>
      <c r="M227" t="s">
        <v>21</v>
      </c>
    </row>
    <row r="228" spans="1:13" x14ac:dyDescent="0.35">
      <c r="A228" t="str">
        <f>"188-0325"</f>
        <v>188-0325</v>
      </c>
      <c r="B228" t="s">
        <v>1016</v>
      </c>
      <c r="C228" t="str">
        <f>"75"</f>
        <v>75</v>
      </c>
      <c r="E228" t="s">
        <v>1017</v>
      </c>
      <c r="F228" t="s">
        <v>430</v>
      </c>
      <c r="G228" t="s">
        <v>1018</v>
      </c>
      <c r="H228" t="s">
        <v>17</v>
      </c>
      <c r="I228" t="s">
        <v>18</v>
      </c>
      <c r="J228" t="str">
        <f>"4389939562"</f>
        <v>4389939562</v>
      </c>
      <c r="K228" t="s">
        <v>1019</v>
      </c>
      <c r="L228" t="s">
        <v>27</v>
      </c>
      <c r="M228" t="s">
        <v>21</v>
      </c>
    </row>
    <row r="229" spans="1:13" x14ac:dyDescent="0.35">
      <c r="A229" t="str">
        <f>"173-2868"</f>
        <v>173-2868</v>
      </c>
      <c r="B229" t="s">
        <v>1020</v>
      </c>
      <c r="C229" t="str">
        <f>"8"</f>
        <v>8</v>
      </c>
      <c r="D229" t="str">
        <f>"8"</f>
        <v>8</v>
      </c>
      <c r="E229" t="s">
        <v>1021</v>
      </c>
      <c r="F229" t="s">
        <v>1022</v>
      </c>
      <c r="G229" t="s">
        <v>1023</v>
      </c>
      <c r="H229" t="s">
        <v>17</v>
      </c>
      <c r="I229" t="s">
        <v>18</v>
      </c>
      <c r="J229" t="str">
        <f>"4383661685"</f>
        <v>4383661685</v>
      </c>
      <c r="K229" t="s">
        <v>1024</v>
      </c>
      <c r="L229" t="s">
        <v>86</v>
      </c>
      <c r="M229" t="s">
        <v>21</v>
      </c>
    </row>
    <row r="230" spans="1:13" x14ac:dyDescent="0.35">
      <c r="A230" t="str">
        <f>"180-8310"</f>
        <v>180-8310</v>
      </c>
      <c r="B230" t="s">
        <v>1025</v>
      </c>
      <c r="C230" t="str">
        <f>"6223"</f>
        <v>6223</v>
      </c>
      <c r="D230" t="str">
        <f>"3"</f>
        <v>3</v>
      </c>
      <c r="E230" t="s">
        <v>1026</v>
      </c>
      <c r="F230" t="s">
        <v>24</v>
      </c>
      <c r="G230" t="s">
        <v>1027</v>
      </c>
      <c r="H230" t="s">
        <v>17</v>
      </c>
      <c r="I230" t="s">
        <v>18</v>
      </c>
      <c r="J230" t="str">
        <f>"4389350600"</f>
        <v>4389350600</v>
      </c>
      <c r="K230" t="s">
        <v>1028</v>
      </c>
      <c r="L230" t="s">
        <v>76</v>
      </c>
      <c r="M230" t="s">
        <v>21</v>
      </c>
    </row>
    <row r="231" spans="1:13" x14ac:dyDescent="0.35">
      <c r="A231" t="str">
        <f>"204-1827"</f>
        <v>204-1827</v>
      </c>
      <c r="B231" t="s">
        <v>1029</v>
      </c>
      <c r="C231" t="str">
        <f>"1002"</f>
        <v>1002</v>
      </c>
      <c r="E231" t="s">
        <v>1030</v>
      </c>
      <c r="F231" t="s">
        <v>24</v>
      </c>
      <c r="G231" t="s">
        <v>1031</v>
      </c>
      <c r="H231" t="s">
        <v>17</v>
      </c>
      <c r="I231" t="s">
        <v>18</v>
      </c>
      <c r="J231" t="str">
        <f>"2044020626"</f>
        <v>2044020626</v>
      </c>
      <c r="K231" t="s">
        <v>1032</v>
      </c>
      <c r="L231" t="s">
        <v>20</v>
      </c>
      <c r="M231" t="s">
        <v>21</v>
      </c>
    </row>
    <row r="232" spans="1:13" x14ac:dyDescent="0.35">
      <c r="A232" t="str">
        <f>"205-0568"</f>
        <v>205-0568</v>
      </c>
      <c r="B232" t="s">
        <v>1033</v>
      </c>
      <c r="C232" t="str">
        <f>"6560"</f>
        <v>6560</v>
      </c>
      <c r="E232" t="s">
        <v>581</v>
      </c>
      <c r="F232" t="s">
        <v>24</v>
      </c>
      <c r="G232" t="s">
        <v>1034</v>
      </c>
      <c r="H232" t="s">
        <v>17</v>
      </c>
      <c r="I232" t="s">
        <v>18</v>
      </c>
      <c r="J232" t="str">
        <f>"5144096314"</f>
        <v>5144096314</v>
      </c>
      <c r="K232" t="s">
        <v>1035</v>
      </c>
      <c r="L232" t="s">
        <v>608</v>
      </c>
      <c r="M232" t="s">
        <v>21</v>
      </c>
    </row>
    <row r="233" spans="1:13" x14ac:dyDescent="0.35">
      <c r="A233" t="str">
        <f>"187-5523"</f>
        <v>187-5523</v>
      </c>
      <c r="B233" t="s">
        <v>1036</v>
      </c>
      <c r="C233" t="str">
        <f>"1939"</f>
        <v>1939</v>
      </c>
      <c r="E233" t="s">
        <v>603</v>
      </c>
      <c r="F233" t="s">
        <v>24</v>
      </c>
      <c r="G233" t="s">
        <v>1037</v>
      </c>
      <c r="H233" t="s">
        <v>17</v>
      </c>
      <c r="I233" t="s">
        <v>18</v>
      </c>
      <c r="J233" t="str">
        <f>"5142104967"</f>
        <v>5142104967</v>
      </c>
      <c r="K233" t="s">
        <v>1038</v>
      </c>
      <c r="L233" t="s">
        <v>86</v>
      </c>
      <c r="M233" t="s">
        <v>21</v>
      </c>
    </row>
    <row r="234" spans="1:13" x14ac:dyDescent="0.35">
      <c r="A234" t="str">
        <f>"202-8791"</f>
        <v>202-8791</v>
      </c>
      <c r="B234" t="s">
        <v>1039</v>
      </c>
      <c r="C234" t="str">
        <f>"2265"</f>
        <v>2265</v>
      </c>
      <c r="E234" t="s">
        <v>1040</v>
      </c>
      <c r="F234" t="s">
        <v>24</v>
      </c>
      <c r="G234" t="s">
        <v>1041</v>
      </c>
      <c r="H234" t="s">
        <v>17</v>
      </c>
      <c r="I234" t="s">
        <v>18</v>
      </c>
      <c r="J234" t="str">
        <f>"5142535523"</f>
        <v>5142535523</v>
      </c>
      <c r="K234" t="s">
        <v>1042</v>
      </c>
      <c r="L234" t="s">
        <v>39</v>
      </c>
      <c r="M234" t="s">
        <v>21</v>
      </c>
    </row>
    <row r="235" spans="1:13" x14ac:dyDescent="0.35">
      <c r="A235" t="str">
        <f>"207-0937"</f>
        <v>207-0937</v>
      </c>
      <c r="B235" t="s">
        <v>1043</v>
      </c>
      <c r="C235" t="str">
        <f>"7442"</f>
        <v>7442</v>
      </c>
      <c r="E235" t="s">
        <v>1044</v>
      </c>
      <c r="F235" t="s">
        <v>656</v>
      </c>
      <c r="G235" t="s">
        <v>1045</v>
      </c>
      <c r="H235" t="s">
        <v>17</v>
      </c>
      <c r="I235" t="s">
        <v>18</v>
      </c>
      <c r="J235" t="str">
        <f>"5145716470"</f>
        <v>5145716470</v>
      </c>
      <c r="K235" t="s">
        <v>1046</v>
      </c>
      <c r="L235" t="s">
        <v>27</v>
      </c>
      <c r="M235" t="s">
        <v>21</v>
      </c>
    </row>
    <row r="236" spans="1:13" x14ac:dyDescent="0.35">
      <c r="A236" t="str">
        <f>"204-0976"</f>
        <v>204-0976</v>
      </c>
      <c r="B236" t="s">
        <v>1050</v>
      </c>
      <c r="C236" t="str">
        <f>"12601"</f>
        <v>12601</v>
      </c>
      <c r="E236" t="s">
        <v>1051</v>
      </c>
      <c r="F236" t="s">
        <v>24</v>
      </c>
      <c r="G236" t="s">
        <v>1052</v>
      </c>
      <c r="H236" t="s">
        <v>17</v>
      </c>
      <c r="I236" t="s">
        <v>18</v>
      </c>
      <c r="J236" t="str">
        <f>"4385202722"</f>
        <v>4385202722</v>
      </c>
      <c r="K236" t="s">
        <v>1053</v>
      </c>
      <c r="L236" t="s">
        <v>193</v>
      </c>
      <c r="M236" t="s">
        <v>21</v>
      </c>
    </row>
    <row r="237" spans="1:13" x14ac:dyDescent="0.35">
      <c r="A237" t="str">
        <f>"208-9327"</f>
        <v>208-9327</v>
      </c>
      <c r="B237" t="s">
        <v>1054</v>
      </c>
      <c r="C237" t="str">
        <f>"6354"</f>
        <v>6354</v>
      </c>
      <c r="E237" t="s">
        <v>1055</v>
      </c>
      <c r="F237" t="s">
        <v>24</v>
      </c>
      <c r="G237" t="s">
        <v>1056</v>
      </c>
      <c r="H237" t="s">
        <v>17</v>
      </c>
      <c r="I237" t="s">
        <v>18</v>
      </c>
      <c r="J237" t="str">
        <f>"5149775903"</f>
        <v>5149775903</v>
      </c>
      <c r="K237" t="s">
        <v>1057</v>
      </c>
      <c r="L237" t="s">
        <v>76</v>
      </c>
      <c r="M237" t="s">
        <v>21</v>
      </c>
    </row>
    <row r="238" spans="1:13" x14ac:dyDescent="0.35">
      <c r="A238" t="str">
        <f>"208-0791"</f>
        <v>208-0791</v>
      </c>
      <c r="B238" t="s">
        <v>1058</v>
      </c>
      <c r="C238" t="str">
        <f>"5656"</f>
        <v>5656</v>
      </c>
      <c r="E238" t="s">
        <v>1059</v>
      </c>
      <c r="F238" t="s">
        <v>24</v>
      </c>
      <c r="G238" t="s">
        <v>1060</v>
      </c>
      <c r="H238" t="s">
        <v>17</v>
      </c>
      <c r="I238" t="s">
        <v>18</v>
      </c>
      <c r="J238" t="str">
        <f>"5147640546"</f>
        <v>5147640546</v>
      </c>
      <c r="K238" t="s">
        <v>1061</v>
      </c>
      <c r="L238" t="s">
        <v>588</v>
      </c>
      <c r="M238" t="s">
        <v>21</v>
      </c>
    </row>
    <row r="239" spans="1:13" x14ac:dyDescent="0.35">
      <c r="A239" t="str">
        <f>"024-2386"</f>
        <v>024-2386</v>
      </c>
      <c r="B239" t="s">
        <v>1062</v>
      </c>
      <c r="C239" t="str">
        <f>"7772"</f>
        <v>7772</v>
      </c>
      <c r="E239" t="s">
        <v>1063</v>
      </c>
      <c r="F239" t="s">
        <v>24</v>
      </c>
      <c r="G239" t="s">
        <v>1064</v>
      </c>
      <c r="H239" t="s">
        <v>17</v>
      </c>
      <c r="I239" t="s">
        <v>18</v>
      </c>
      <c r="J239" t="str">
        <f>"5146498025"</f>
        <v>5146498025</v>
      </c>
      <c r="K239" t="s">
        <v>1065</v>
      </c>
      <c r="L239" t="s">
        <v>20</v>
      </c>
      <c r="M239" t="s">
        <v>21</v>
      </c>
    </row>
    <row r="240" spans="1:13" x14ac:dyDescent="0.35">
      <c r="A240" t="str">
        <f>"077-3903"</f>
        <v>077-3903</v>
      </c>
      <c r="B240" t="s">
        <v>1066</v>
      </c>
      <c r="C240" t="str">
        <f>"16173"</f>
        <v>16173</v>
      </c>
      <c r="D240" t="str">
        <f>"401"</f>
        <v>401</v>
      </c>
      <c r="E240" t="s">
        <v>1067</v>
      </c>
      <c r="F240" t="s">
        <v>24</v>
      </c>
      <c r="G240" t="s">
        <v>1068</v>
      </c>
      <c r="H240" t="s">
        <v>17</v>
      </c>
      <c r="I240" t="s">
        <v>18</v>
      </c>
      <c r="J240" t="str">
        <f>"5147959501"</f>
        <v>5147959501</v>
      </c>
      <c r="K240" t="s">
        <v>1069</v>
      </c>
      <c r="L240" t="s">
        <v>350</v>
      </c>
      <c r="M240" t="s">
        <v>21</v>
      </c>
    </row>
    <row r="241" spans="1:13" x14ac:dyDescent="0.35">
      <c r="A241" t="str">
        <f>"086-7038"</f>
        <v>086-7038</v>
      </c>
      <c r="B241" t="s">
        <v>1070</v>
      </c>
      <c r="C241" t="str">
        <f>"2202"</f>
        <v>2202</v>
      </c>
      <c r="E241" t="s">
        <v>304</v>
      </c>
      <c r="F241" t="s">
        <v>24</v>
      </c>
      <c r="G241" t="s">
        <v>563</v>
      </c>
      <c r="H241" t="s">
        <v>17</v>
      </c>
      <c r="I241" t="s">
        <v>18</v>
      </c>
      <c r="J241" t="str">
        <f>"5145547533"</f>
        <v>5145547533</v>
      </c>
      <c r="K241" t="s">
        <v>1071</v>
      </c>
      <c r="L241" t="s">
        <v>20</v>
      </c>
      <c r="M241" t="s">
        <v>21</v>
      </c>
    </row>
    <row r="242" spans="1:13" x14ac:dyDescent="0.35">
      <c r="A242" t="str">
        <f>"128-2782"</f>
        <v>128-2782</v>
      </c>
      <c r="B242" t="s">
        <v>1074</v>
      </c>
      <c r="C242" t="str">
        <f>"3695"</f>
        <v>3695</v>
      </c>
      <c r="D242" t="str">
        <f>"4"</f>
        <v>4</v>
      </c>
      <c r="E242" t="s">
        <v>1075</v>
      </c>
      <c r="F242" t="s">
        <v>24</v>
      </c>
      <c r="G242" t="s">
        <v>1076</v>
      </c>
      <c r="H242" t="s">
        <v>17</v>
      </c>
      <c r="I242" t="s">
        <v>18</v>
      </c>
      <c r="J242" t="str">
        <f>"5146642500"</f>
        <v>5146642500</v>
      </c>
      <c r="K242" t="s">
        <v>1077</v>
      </c>
      <c r="L242" t="s">
        <v>39</v>
      </c>
      <c r="M242" t="s">
        <v>21</v>
      </c>
    </row>
    <row r="243" spans="1:13" x14ac:dyDescent="0.35">
      <c r="A243" t="str">
        <f>"133-1567"</f>
        <v>133-1567</v>
      </c>
      <c r="B243" t="s">
        <v>1078</v>
      </c>
      <c r="C243" t="str">
        <f>"101"</f>
        <v>101</v>
      </c>
      <c r="D243" t="str">
        <f>"201"</f>
        <v>201</v>
      </c>
      <c r="E243" t="s">
        <v>1079</v>
      </c>
      <c r="F243" t="s">
        <v>143</v>
      </c>
      <c r="G243" t="s">
        <v>1080</v>
      </c>
      <c r="H243" t="s">
        <v>17</v>
      </c>
      <c r="I243" t="s">
        <v>18</v>
      </c>
      <c r="J243" t="str">
        <f>"5148154314"</f>
        <v>5148154314</v>
      </c>
      <c r="K243" t="s">
        <v>1081</v>
      </c>
      <c r="L243" t="s">
        <v>39</v>
      </c>
      <c r="M243" t="s">
        <v>21</v>
      </c>
    </row>
    <row r="244" spans="1:13" x14ac:dyDescent="0.35">
      <c r="A244" t="str">
        <f>"164-5310"</f>
        <v>164-5310</v>
      </c>
      <c r="B244" t="s">
        <v>1082</v>
      </c>
      <c r="C244" t="str">
        <f>"627"</f>
        <v>627</v>
      </c>
      <c r="E244" t="s">
        <v>1083</v>
      </c>
      <c r="F244" t="s">
        <v>54</v>
      </c>
      <c r="G244" t="s">
        <v>1084</v>
      </c>
      <c r="H244" t="s">
        <v>17</v>
      </c>
      <c r="I244" t="s">
        <v>18</v>
      </c>
      <c r="J244" t="str">
        <f>"5146912952"</f>
        <v>5146912952</v>
      </c>
      <c r="K244" t="s">
        <v>1085</v>
      </c>
      <c r="L244" t="s">
        <v>39</v>
      </c>
      <c r="M244" t="s">
        <v>21</v>
      </c>
    </row>
    <row r="245" spans="1:13" x14ac:dyDescent="0.35">
      <c r="A245" t="str">
        <f>"190-5276"</f>
        <v>190-5276</v>
      </c>
      <c r="B245" t="s">
        <v>1086</v>
      </c>
      <c r="C245" t="str">
        <f>"8358"</f>
        <v>8358</v>
      </c>
      <c r="E245" t="s">
        <v>1063</v>
      </c>
      <c r="F245" t="s">
        <v>24</v>
      </c>
      <c r="G245" t="s">
        <v>1087</v>
      </c>
      <c r="H245" t="s">
        <v>17</v>
      </c>
      <c r="I245" t="s">
        <v>18</v>
      </c>
      <c r="J245" t="str">
        <f>"4389377179"</f>
        <v>4389377179</v>
      </c>
      <c r="K245" t="s">
        <v>1088</v>
      </c>
      <c r="L245" t="s">
        <v>27</v>
      </c>
      <c r="M245" t="s">
        <v>21</v>
      </c>
    </row>
    <row r="246" spans="1:13" x14ac:dyDescent="0.35">
      <c r="A246" t="str">
        <f>"195-6160"</f>
        <v>195-6160</v>
      </c>
      <c r="B246" t="s">
        <v>1089</v>
      </c>
      <c r="C246" t="str">
        <f>"11717"</f>
        <v>11717</v>
      </c>
      <c r="E246" t="s">
        <v>268</v>
      </c>
      <c r="F246" t="s">
        <v>24</v>
      </c>
      <c r="G246" t="s">
        <v>1090</v>
      </c>
      <c r="H246" t="s">
        <v>17</v>
      </c>
      <c r="I246" t="s">
        <v>18</v>
      </c>
      <c r="J246" t="str">
        <f>"5147032901"</f>
        <v>5147032901</v>
      </c>
      <c r="K246" t="s">
        <v>1091</v>
      </c>
      <c r="L246" t="s">
        <v>466</v>
      </c>
      <c r="M246" t="s">
        <v>21</v>
      </c>
    </row>
    <row r="247" spans="1:13" x14ac:dyDescent="0.35">
      <c r="A247" t="str">
        <f>"202-6902"</f>
        <v>202-6902</v>
      </c>
      <c r="B247" t="s">
        <v>1092</v>
      </c>
      <c r="C247" t="str">
        <f>"12280"</f>
        <v>12280</v>
      </c>
      <c r="E247" t="s">
        <v>1093</v>
      </c>
      <c r="F247" t="s">
        <v>24</v>
      </c>
      <c r="G247" t="s">
        <v>1094</v>
      </c>
      <c r="H247" t="s">
        <v>17</v>
      </c>
      <c r="I247" t="s">
        <v>18</v>
      </c>
      <c r="J247" t="str">
        <f>"5146545356"</f>
        <v>5146545356</v>
      </c>
      <c r="K247" t="s">
        <v>1095</v>
      </c>
      <c r="L247" t="s">
        <v>27</v>
      </c>
      <c r="M247" t="s">
        <v>21</v>
      </c>
    </row>
    <row r="248" spans="1:13" x14ac:dyDescent="0.35">
      <c r="A248" t="str">
        <f>"202-6924"</f>
        <v>202-6924</v>
      </c>
      <c r="B248" t="s">
        <v>1096</v>
      </c>
      <c r="C248" t="str">
        <f>"3469"</f>
        <v>3469</v>
      </c>
      <c r="D248" t="str">
        <f>"342"</f>
        <v>342</v>
      </c>
      <c r="E248" t="s">
        <v>455</v>
      </c>
      <c r="F248" t="s">
        <v>24</v>
      </c>
      <c r="G248" t="s">
        <v>1097</v>
      </c>
      <c r="H248" t="s">
        <v>17</v>
      </c>
      <c r="I248" t="s">
        <v>18</v>
      </c>
      <c r="J248" t="str">
        <f>"5149710280"</f>
        <v>5149710280</v>
      </c>
      <c r="K248" t="s">
        <v>1098</v>
      </c>
      <c r="L248" t="s">
        <v>168</v>
      </c>
      <c r="M248" t="s">
        <v>21</v>
      </c>
    </row>
    <row r="249" spans="1:13" x14ac:dyDescent="0.35">
      <c r="A249" t="str">
        <f>"202-7358"</f>
        <v>202-7358</v>
      </c>
      <c r="B249" t="s">
        <v>1099</v>
      </c>
      <c r="C249" t="str">
        <f>"5285"</f>
        <v>5285</v>
      </c>
      <c r="E249" t="s">
        <v>1100</v>
      </c>
      <c r="F249" t="s">
        <v>322</v>
      </c>
      <c r="G249" t="s">
        <v>1101</v>
      </c>
      <c r="H249" t="s">
        <v>17</v>
      </c>
      <c r="I249" t="s">
        <v>18</v>
      </c>
      <c r="J249" t="str">
        <f>"4389799483"</f>
        <v>4389799483</v>
      </c>
      <c r="K249" t="s">
        <v>1102</v>
      </c>
      <c r="L249" t="s">
        <v>27</v>
      </c>
      <c r="M249" t="s">
        <v>21</v>
      </c>
    </row>
    <row r="250" spans="1:13" x14ac:dyDescent="0.35">
      <c r="A250" t="str">
        <f>"203-3975"</f>
        <v>203-3975</v>
      </c>
      <c r="B250" t="s">
        <v>1103</v>
      </c>
      <c r="C250" t="str">
        <f>"1320"</f>
        <v>1320</v>
      </c>
      <c r="D250" t="str">
        <f>"1320"</f>
        <v>1320</v>
      </c>
      <c r="E250" t="s">
        <v>1104</v>
      </c>
      <c r="F250" t="s">
        <v>54</v>
      </c>
      <c r="G250" t="s">
        <v>1105</v>
      </c>
      <c r="H250" t="s">
        <v>17</v>
      </c>
      <c r="I250" t="s">
        <v>18</v>
      </c>
      <c r="J250" t="str">
        <f>"4388637988"</f>
        <v>4388637988</v>
      </c>
      <c r="K250" t="s">
        <v>1106</v>
      </c>
      <c r="L250" t="s">
        <v>39</v>
      </c>
      <c r="M250" t="s">
        <v>21</v>
      </c>
    </row>
    <row r="251" spans="1:13" x14ac:dyDescent="0.35">
      <c r="A251" t="str">
        <f>"203-8335"</f>
        <v>203-8335</v>
      </c>
      <c r="B251" t="s">
        <v>1107</v>
      </c>
      <c r="C251" t="str">
        <f>"737"</f>
        <v>737</v>
      </c>
      <c r="E251" t="s">
        <v>1108</v>
      </c>
      <c r="F251" t="s">
        <v>1109</v>
      </c>
      <c r="G251" t="s">
        <v>1110</v>
      </c>
      <c r="H251" t="s">
        <v>17</v>
      </c>
      <c r="I251" t="s">
        <v>18</v>
      </c>
      <c r="J251" t="str">
        <f>"4185576757"</f>
        <v>4185576757</v>
      </c>
      <c r="K251" t="s">
        <v>1111</v>
      </c>
      <c r="L251" t="s">
        <v>313</v>
      </c>
      <c r="M251" t="s">
        <v>21</v>
      </c>
    </row>
    <row r="252" spans="1:13" x14ac:dyDescent="0.35">
      <c r="A252" t="str">
        <f>"204-3747"</f>
        <v>204-3747</v>
      </c>
      <c r="B252" t="s">
        <v>1112</v>
      </c>
      <c r="C252" t="str">
        <f>"5867"</f>
        <v>5867</v>
      </c>
      <c r="E252" t="s">
        <v>642</v>
      </c>
      <c r="F252" t="s">
        <v>24</v>
      </c>
      <c r="G252" t="s">
        <v>1113</v>
      </c>
      <c r="H252" t="s">
        <v>17</v>
      </c>
      <c r="I252" t="s">
        <v>18</v>
      </c>
      <c r="J252" t="str">
        <f>"5149237501"</f>
        <v>5149237501</v>
      </c>
      <c r="K252" t="s">
        <v>1114</v>
      </c>
      <c r="L252" t="s">
        <v>76</v>
      </c>
      <c r="M252" t="s">
        <v>21</v>
      </c>
    </row>
    <row r="253" spans="1:13" x14ac:dyDescent="0.35">
      <c r="A253" t="str">
        <f>"204-6129"</f>
        <v>204-6129</v>
      </c>
      <c r="B253" t="s">
        <v>1115</v>
      </c>
      <c r="C253" t="str">
        <f>"3469"</f>
        <v>3469</v>
      </c>
      <c r="D253" t="str">
        <f>"145"</f>
        <v>145</v>
      </c>
      <c r="E253" t="s">
        <v>455</v>
      </c>
      <c r="F253" t="s">
        <v>24</v>
      </c>
      <c r="G253" t="s">
        <v>1097</v>
      </c>
      <c r="H253" t="s">
        <v>17</v>
      </c>
      <c r="I253" t="s">
        <v>18</v>
      </c>
      <c r="J253" t="str">
        <f>"4188969208"</f>
        <v>4188969208</v>
      </c>
      <c r="K253" t="s">
        <v>1116</v>
      </c>
      <c r="L253" t="s">
        <v>313</v>
      </c>
      <c r="M253" t="s">
        <v>21</v>
      </c>
    </row>
    <row r="254" spans="1:13" x14ac:dyDescent="0.35">
      <c r="A254" t="str">
        <f>"204-8059"</f>
        <v>204-8059</v>
      </c>
      <c r="B254" t="s">
        <v>1117</v>
      </c>
      <c r="C254" t="str">
        <f>"3245"</f>
        <v>3245</v>
      </c>
      <c r="D254" t="str">
        <f>"4"</f>
        <v>4</v>
      </c>
      <c r="E254" t="s">
        <v>1118</v>
      </c>
      <c r="F254" t="s">
        <v>24</v>
      </c>
      <c r="G254" t="s">
        <v>1119</v>
      </c>
      <c r="H254" t="s">
        <v>17</v>
      </c>
      <c r="I254" t="s">
        <v>18</v>
      </c>
      <c r="J254" t="str">
        <f>"4389215086"</f>
        <v>4389215086</v>
      </c>
      <c r="K254" t="s">
        <v>1120</v>
      </c>
      <c r="L254" t="s">
        <v>86</v>
      </c>
      <c r="M254" t="s">
        <v>21</v>
      </c>
    </row>
    <row r="255" spans="1:13" x14ac:dyDescent="0.35">
      <c r="A255" t="str">
        <f>"205-3502"</f>
        <v>205-3502</v>
      </c>
      <c r="B255" t="s">
        <v>1122</v>
      </c>
      <c r="C255" t="str">
        <f>"1400"</f>
        <v>1400</v>
      </c>
      <c r="E255" t="s">
        <v>1123</v>
      </c>
      <c r="F255" t="s">
        <v>32</v>
      </c>
      <c r="G255" t="s">
        <v>1124</v>
      </c>
      <c r="H255" t="s">
        <v>17</v>
      </c>
      <c r="I255" t="s">
        <v>18</v>
      </c>
      <c r="J255" t="str">
        <f>"5149446231"</f>
        <v>5149446231</v>
      </c>
      <c r="K255" t="s">
        <v>1125</v>
      </c>
      <c r="L255" t="s">
        <v>27</v>
      </c>
      <c r="M255" t="s">
        <v>21</v>
      </c>
    </row>
    <row r="256" spans="1:13" x14ac:dyDescent="0.35">
      <c r="A256" t="str">
        <f>"205-4538"</f>
        <v>205-4538</v>
      </c>
      <c r="B256" t="s">
        <v>1126</v>
      </c>
      <c r="C256" t="str">
        <f>"210"</f>
        <v>210</v>
      </c>
      <c r="E256" t="s">
        <v>1127</v>
      </c>
      <c r="F256" t="s">
        <v>32</v>
      </c>
      <c r="G256" t="s">
        <v>1128</v>
      </c>
      <c r="H256" t="s">
        <v>17</v>
      </c>
      <c r="I256" t="s">
        <v>18</v>
      </c>
      <c r="J256" t="str">
        <f>"5149701107"</f>
        <v>5149701107</v>
      </c>
      <c r="K256" t="s">
        <v>1129</v>
      </c>
      <c r="L256" t="s">
        <v>396</v>
      </c>
      <c r="M256" t="s">
        <v>21</v>
      </c>
    </row>
    <row r="257" spans="1:13" x14ac:dyDescent="0.35">
      <c r="A257" t="str">
        <f>"205-7581"</f>
        <v>205-7581</v>
      </c>
      <c r="B257" t="s">
        <v>1130</v>
      </c>
      <c r="C257" t="str">
        <f>"8287"</f>
        <v>8287</v>
      </c>
      <c r="E257" t="s">
        <v>1131</v>
      </c>
      <c r="F257" t="s">
        <v>24</v>
      </c>
      <c r="G257" t="s">
        <v>1132</v>
      </c>
      <c r="H257" t="s">
        <v>17</v>
      </c>
      <c r="I257" t="s">
        <v>18</v>
      </c>
      <c r="J257" t="str">
        <f>"4385192366"</f>
        <v>4385192366</v>
      </c>
      <c r="K257" t="s">
        <v>1133</v>
      </c>
      <c r="L257" t="s">
        <v>137</v>
      </c>
      <c r="M257" t="s">
        <v>21</v>
      </c>
    </row>
    <row r="258" spans="1:13" x14ac:dyDescent="0.35">
      <c r="A258" t="str">
        <f>"206-4131"</f>
        <v>206-4131</v>
      </c>
      <c r="B258" t="s">
        <v>1134</v>
      </c>
      <c r="C258" t="str">
        <f>"6555"</f>
        <v>6555</v>
      </c>
      <c r="E258" t="s">
        <v>645</v>
      </c>
      <c r="F258" t="s">
        <v>24</v>
      </c>
      <c r="G258" t="s">
        <v>1135</v>
      </c>
      <c r="H258" t="s">
        <v>17</v>
      </c>
      <c r="I258" t="s">
        <v>18</v>
      </c>
      <c r="J258" t="str">
        <f>"4388818345"</f>
        <v>4388818345</v>
      </c>
      <c r="K258" t="s">
        <v>1136</v>
      </c>
      <c r="L258" t="s">
        <v>203</v>
      </c>
      <c r="M258" t="s">
        <v>21</v>
      </c>
    </row>
    <row r="259" spans="1:13" x14ac:dyDescent="0.35">
      <c r="A259" t="str">
        <f>"206-5351"</f>
        <v>206-5351</v>
      </c>
      <c r="B259" t="s">
        <v>1137</v>
      </c>
      <c r="C259" t="str">
        <f>"4942"</f>
        <v>4942</v>
      </c>
      <c r="E259" t="s">
        <v>1138</v>
      </c>
      <c r="F259" t="s">
        <v>1139</v>
      </c>
      <c r="G259" t="s">
        <v>1140</v>
      </c>
      <c r="H259" t="s">
        <v>17</v>
      </c>
      <c r="I259" t="s">
        <v>18</v>
      </c>
      <c r="J259" t="str">
        <f>"5149145755"</f>
        <v>5149145755</v>
      </c>
      <c r="K259" t="s">
        <v>1141</v>
      </c>
      <c r="L259" t="s">
        <v>350</v>
      </c>
      <c r="M259" t="s">
        <v>21</v>
      </c>
    </row>
    <row r="260" spans="1:13" x14ac:dyDescent="0.35">
      <c r="A260" t="str">
        <f>"206-8284"</f>
        <v>206-8284</v>
      </c>
      <c r="B260" t="s">
        <v>1142</v>
      </c>
      <c r="C260" t="str">
        <f>"90"</f>
        <v>90</v>
      </c>
      <c r="E260" t="s">
        <v>217</v>
      </c>
      <c r="F260" t="s">
        <v>24</v>
      </c>
      <c r="G260" t="s">
        <v>1143</v>
      </c>
      <c r="H260" t="s">
        <v>17</v>
      </c>
      <c r="I260" t="s">
        <v>18</v>
      </c>
      <c r="J260" t="str">
        <f>"4386309752"</f>
        <v>4386309752</v>
      </c>
      <c r="K260" t="s">
        <v>1144</v>
      </c>
      <c r="L260" t="s">
        <v>220</v>
      </c>
      <c r="M260" t="s">
        <v>21</v>
      </c>
    </row>
    <row r="261" spans="1:13" x14ac:dyDescent="0.35">
      <c r="A261" t="str">
        <f>"206-8883"</f>
        <v>206-8883</v>
      </c>
      <c r="B261" t="s">
        <v>1145</v>
      </c>
      <c r="C261" t="str">
        <f>"10750"</f>
        <v>10750</v>
      </c>
      <c r="D261" t="str">
        <f>"2"</f>
        <v>2</v>
      </c>
      <c r="E261" t="s">
        <v>1146</v>
      </c>
      <c r="F261" t="s">
        <v>24</v>
      </c>
      <c r="G261" t="s">
        <v>1147</v>
      </c>
      <c r="H261" t="s">
        <v>17</v>
      </c>
      <c r="I261" t="s">
        <v>18</v>
      </c>
      <c r="J261" t="str">
        <f>"4388331972"</f>
        <v>4388331972</v>
      </c>
      <c r="K261" t="s">
        <v>1148</v>
      </c>
      <c r="L261" t="s">
        <v>27</v>
      </c>
      <c r="M261" t="s">
        <v>21</v>
      </c>
    </row>
    <row r="262" spans="1:13" x14ac:dyDescent="0.35">
      <c r="A262" t="str">
        <f>"206-8897"</f>
        <v>206-8897</v>
      </c>
      <c r="B262" t="s">
        <v>1149</v>
      </c>
      <c r="C262" t="str">
        <f>"8215"</f>
        <v>8215</v>
      </c>
      <c r="D262" t="str">
        <f>"8215"</f>
        <v>8215</v>
      </c>
      <c r="E262" t="s">
        <v>1150</v>
      </c>
      <c r="F262" t="s">
        <v>54</v>
      </c>
      <c r="G262" t="s">
        <v>1151</v>
      </c>
      <c r="H262" t="s">
        <v>17</v>
      </c>
      <c r="I262" t="s">
        <v>18</v>
      </c>
      <c r="J262" t="str">
        <f>"4386303613"</f>
        <v>4386303613</v>
      </c>
      <c r="K262" t="s">
        <v>1152</v>
      </c>
      <c r="L262" t="s">
        <v>39</v>
      </c>
      <c r="M262" t="s">
        <v>21</v>
      </c>
    </row>
    <row r="263" spans="1:13" x14ac:dyDescent="0.35">
      <c r="A263" t="str">
        <f>"207-4432"</f>
        <v>207-4432</v>
      </c>
      <c r="B263" t="s">
        <v>1153</v>
      </c>
      <c r="C263" t="str">
        <f>"58"</f>
        <v>58</v>
      </c>
      <c r="E263" t="s">
        <v>1154</v>
      </c>
      <c r="F263" t="s">
        <v>1155</v>
      </c>
      <c r="G263" t="s">
        <v>1156</v>
      </c>
      <c r="H263" t="s">
        <v>17</v>
      </c>
      <c r="I263" t="s">
        <v>18</v>
      </c>
      <c r="J263" t="str">
        <f>"4183505276"</f>
        <v>4183505276</v>
      </c>
      <c r="K263" t="s">
        <v>1157</v>
      </c>
      <c r="L263" t="s">
        <v>319</v>
      </c>
      <c r="M263" t="s">
        <v>21</v>
      </c>
    </row>
    <row r="264" spans="1:13" x14ac:dyDescent="0.35">
      <c r="A264" t="str">
        <f>"207-4564"</f>
        <v>207-4564</v>
      </c>
      <c r="B264" t="s">
        <v>1158</v>
      </c>
      <c r="C264" t="str">
        <f>"7120"</f>
        <v>7120</v>
      </c>
      <c r="E264" t="s">
        <v>1159</v>
      </c>
      <c r="F264" t="s">
        <v>656</v>
      </c>
      <c r="G264" t="s">
        <v>1160</v>
      </c>
      <c r="H264" t="s">
        <v>17</v>
      </c>
      <c r="I264" t="s">
        <v>18</v>
      </c>
      <c r="J264" t="str">
        <f>"4383920525"</f>
        <v>4383920525</v>
      </c>
      <c r="K264" t="s">
        <v>1161</v>
      </c>
      <c r="L264" t="s">
        <v>137</v>
      </c>
      <c r="M264" t="s">
        <v>21</v>
      </c>
    </row>
    <row r="265" spans="1:13" x14ac:dyDescent="0.35">
      <c r="A265" t="str">
        <f>"207-6101"</f>
        <v>207-6101</v>
      </c>
      <c r="B265" t="s">
        <v>1162</v>
      </c>
      <c r="C265" t="str">
        <f>"7010"</f>
        <v>7010</v>
      </c>
      <c r="D265" t="str">
        <f>"42"</f>
        <v>42</v>
      </c>
      <c r="E265" t="s">
        <v>1163</v>
      </c>
      <c r="F265" t="s">
        <v>24</v>
      </c>
      <c r="G265" t="s">
        <v>1164</v>
      </c>
      <c r="H265" t="s">
        <v>17</v>
      </c>
      <c r="I265" t="s">
        <v>18</v>
      </c>
      <c r="J265" t="str">
        <f>"4385402686"</f>
        <v>4385402686</v>
      </c>
      <c r="K265" t="s">
        <v>1165</v>
      </c>
      <c r="L265" t="s">
        <v>86</v>
      </c>
      <c r="M265" t="s">
        <v>21</v>
      </c>
    </row>
    <row r="266" spans="1:13" x14ac:dyDescent="0.35">
      <c r="A266" t="str">
        <f>"207-7422"</f>
        <v>207-7422</v>
      </c>
      <c r="B266" t="s">
        <v>1166</v>
      </c>
      <c r="C266" t="str">
        <f>"7275"</f>
        <v>7275</v>
      </c>
      <c r="D266" t="str">
        <f>"308"</f>
        <v>308</v>
      </c>
      <c r="E266" t="s">
        <v>87</v>
      </c>
      <c r="F266" t="s">
        <v>24</v>
      </c>
      <c r="G266" t="s">
        <v>1167</v>
      </c>
      <c r="H266" t="s">
        <v>17</v>
      </c>
      <c r="I266" t="s">
        <v>18</v>
      </c>
      <c r="J266" t="str">
        <f>"2369881071"</f>
        <v>2369881071</v>
      </c>
      <c r="K266" t="s">
        <v>1168</v>
      </c>
      <c r="L266" t="s">
        <v>350</v>
      </c>
      <c r="M266" t="s">
        <v>21</v>
      </c>
    </row>
    <row r="267" spans="1:13" x14ac:dyDescent="0.35">
      <c r="A267" t="str">
        <f>"207-8802"</f>
        <v>207-8802</v>
      </c>
      <c r="B267" t="s">
        <v>1169</v>
      </c>
      <c r="C267" t="str">
        <f>"1288"</f>
        <v>1288</v>
      </c>
      <c r="D267" t="str">
        <f>"1912"</f>
        <v>1912</v>
      </c>
      <c r="E267" t="s">
        <v>1170</v>
      </c>
      <c r="F267" t="s">
        <v>24</v>
      </c>
      <c r="G267" t="s">
        <v>1171</v>
      </c>
      <c r="H267" t="s">
        <v>17</v>
      </c>
      <c r="I267" t="s">
        <v>18</v>
      </c>
      <c r="J267" t="str">
        <f>"4384947626"</f>
        <v>4384947626</v>
      </c>
      <c r="K267" t="s">
        <v>1172</v>
      </c>
      <c r="L267" t="s">
        <v>168</v>
      </c>
      <c r="M267" t="s">
        <v>21</v>
      </c>
    </row>
    <row r="268" spans="1:13" x14ac:dyDescent="0.35">
      <c r="A268" t="str">
        <f>"207-9242"</f>
        <v>207-9242</v>
      </c>
      <c r="B268" t="s">
        <v>1173</v>
      </c>
      <c r="C268" t="str">
        <f>"930"</f>
        <v>930</v>
      </c>
      <c r="E268" t="s">
        <v>1174</v>
      </c>
      <c r="F268" t="s">
        <v>1175</v>
      </c>
      <c r="G268" t="s">
        <v>1176</v>
      </c>
      <c r="H268" t="s">
        <v>17</v>
      </c>
      <c r="I268" t="s">
        <v>18</v>
      </c>
      <c r="J268" t="str">
        <f>"5145739395"</f>
        <v>5145739395</v>
      </c>
      <c r="K268" t="s">
        <v>1177</v>
      </c>
      <c r="L268" t="s">
        <v>39</v>
      </c>
      <c r="M268" t="s">
        <v>21</v>
      </c>
    </row>
    <row r="269" spans="1:13" x14ac:dyDescent="0.35">
      <c r="A269" t="str">
        <f>"208-3589"</f>
        <v>208-3589</v>
      </c>
      <c r="B269" t="s">
        <v>1178</v>
      </c>
      <c r="C269" t="str">
        <f>"7225"</f>
        <v>7225</v>
      </c>
      <c r="D269" t="str">
        <f>"16"</f>
        <v>16</v>
      </c>
      <c r="E269" t="s">
        <v>1179</v>
      </c>
      <c r="F269" t="s">
        <v>24</v>
      </c>
      <c r="G269" t="s">
        <v>1180</v>
      </c>
      <c r="H269" t="s">
        <v>17</v>
      </c>
      <c r="I269" t="s">
        <v>18</v>
      </c>
      <c r="J269" t="str">
        <f>"4384053628"</f>
        <v>4384053628</v>
      </c>
      <c r="K269" t="s">
        <v>1181</v>
      </c>
      <c r="L269" t="s">
        <v>203</v>
      </c>
      <c r="M269" t="s">
        <v>21</v>
      </c>
    </row>
    <row r="270" spans="1:13" x14ac:dyDescent="0.35">
      <c r="A270" t="str">
        <f>"208-3653"</f>
        <v>208-3653</v>
      </c>
      <c r="B270" t="s">
        <v>1182</v>
      </c>
      <c r="C270" t="str">
        <f>"4235"</f>
        <v>4235</v>
      </c>
      <c r="D270" t="str">
        <f>"2"</f>
        <v>2</v>
      </c>
      <c r="E270" t="s">
        <v>1183</v>
      </c>
      <c r="F270" t="s">
        <v>24</v>
      </c>
      <c r="G270" t="s">
        <v>1184</v>
      </c>
      <c r="H270" t="s">
        <v>17</v>
      </c>
      <c r="I270" t="s">
        <v>18</v>
      </c>
      <c r="J270" t="str">
        <f>"5146860201"</f>
        <v>5146860201</v>
      </c>
      <c r="K270" t="s">
        <v>1185</v>
      </c>
      <c r="L270" t="s">
        <v>198</v>
      </c>
      <c r="M270" t="s">
        <v>21</v>
      </c>
    </row>
    <row r="271" spans="1:13" x14ac:dyDescent="0.35">
      <c r="A271" t="str">
        <f>"208-5632"</f>
        <v>208-5632</v>
      </c>
      <c r="B271" t="s">
        <v>1186</v>
      </c>
      <c r="C271" t="str">
        <f>"605"</f>
        <v>605</v>
      </c>
      <c r="D271" t="str">
        <f>"2"</f>
        <v>2</v>
      </c>
      <c r="E271" t="s">
        <v>1187</v>
      </c>
      <c r="F271" t="s">
        <v>24</v>
      </c>
      <c r="G271" t="s">
        <v>1188</v>
      </c>
      <c r="H271" t="s">
        <v>17</v>
      </c>
      <c r="I271" t="s">
        <v>18</v>
      </c>
      <c r="J271" t="str">
        <f>"4383892874"</f>
        <v>4383892874</v>
      </c>
      <c r="K271" t="s">
        <v>1189</v>
      </c>
      <c r="L271" t="s">
        <v>168</v>
      </c>
      <c r="M271" t="s">
        <v>21</v>
      </c>
    </row>
    <row r="272" spans="1:13" x14ac:dyDescent="0.35">
      <c r="A272" t="str">
        <f>"208-8502"</f>
        <v>208-8502</v>
      </c>
      <c r="B272" t="s">
        <v>1190</v>
      </c>
      <c r="C272" t="str">
        <f>"8282"</f>
        <v>8282</v>
      </c>
      <c r="E272" t="s">
        <v>1191</v>
      </c>
      <c r="F272" t="s">
        <v>24</v>
      </c>
      <c r="G272" t="s">
        <v>1192</v>
      </c>
      <c r="H272" t="s">
        <v>17</v>
      </c>
      <c r="I272" t="s">
        <v>18</v>
      </c>
      <c r="J272" t="str">
        <f>"5142143549"</f>
        <v>5142143549</v>
      </c>
      <c r="K272" t="s">
        <v>1193</v>
      </c>
      <c r="L272" t="s">
        <v>86</v>
      </c>
      <c r="M272" t="s">
        <v>21</v>
      </c>
    </row>
    <row r="273" spans="1:13" x14ac:dyDescent="0.35">
      <c r="A273" t="str">
        <f>"208-8713"</f>
        <v>208-8713</v>
      </c>
      <c r="B273" t="s">
        <v>1194</v>
      </c>
      <c r="C273" t="str">
        <f>"5487"</f>
        <v>5487</v>
      </c>
      <c r="E273" t="s">
        <v>492</v>
      </c>
      <c r="F273" t="s">
        <v>24</v>
      </c>
      <c r="G273" t="s">
        <v>493</v>
      </c>
      <c r="H273" t="s">
        <v>17</v>
      </c>
      <c r="I273" t="s">
        <v>18</v>
      </c>
      <c r="J273" t="str">
        <f>"5146779163"</f>
        <v>5146779163</v>
      </c>
      <c r="K273" t="s">
        <v>1195</v>
      </c>
      <c r="L273" t="s">
        <v>396</v>
      </c>
      <c r="M273" t="s">
        <v>21</v>
      </c>
    </row>
    <row r="274" spans="1:13" x14ac:dyDescent="0.35">
      <c r="A274" t="str">
        <f>"614-7885"</f>
        <v>614-7885</v>
      </c>
      <c r="B274" t="s">
        <v>1196</v>
      </c>
      <c r="C274" t="str">
        <f>"1020"</f>
        <v>1020</v>
      </c>
      <c r="E274" t="s">
        <v>451</v>
      </c>
      <c r="F274" t="s">
        <v>1197</v>
      </c>
      <c r="G274" t="s">
        <v>1198</v>
      </c>
      <c r="H274" t="s">
        <v>17</v>
      </c>
      <c r="I274" t="s">
        <v>18</v>
      </c>
      <c r="J274" t="str">
        <f>"5147141732"</f>
        <v>5147141732</v>
      </c>
      <c r="K274" t="s">
        <v>1199</v>
      </c>
      <c r="L274" t="s">
        <v>198</v>
      </c>
      <c r="M274" t="s">
        <v>21</v>
      </c>
    </row>
    <row r="275" spans="1:13" x14ac:dyDescent="0.35">
      <c r="A275" t="str">
        <f>"615-4107"</f>
        <v>615-4107</v>
      </c>
      <c r="B275" t="s">
        <v>1200</v>
      </c>
      <c r="C275" t="str">
        <f>"6351"</f>
        <v>6351</v>
      </c>
      <c r="E275" t="s">
        <v>172</v>
      </c>
      <c r="F275" t="s">
        <v>24</v>
      </c>
      <c r="G275" t="s">
        <v>1201</v>
      </c>
      <c r="H275" t="s">
        <v>17</v>
      </c>
      <c r="I275" t="s">
        <v>18</v>
      </c>
      <c r="J275" t="str">
        <f>"4389254486"</f>
        <v>4389254486</v>
      </c>
      <c r="K275" t="s">
        <v>1202</v>
      </c>
      <c r="L275" t="s">
        <v>86</v>
      </c>
      <c r="M275" t="s">
        <v>21</v>
      </c>
    </row>
    <row r="276" spans="1:13" x14ac:dyDescent="0.35">
      <c r="A276" t="str">
        <f>"208-2363"</f>
        <v>208-2363</v>
      </c>
      <c r="B276" t="s">
        <v>1203</v>
      </c>
      <c r="C276" t="str">
        <f>"8910"</f>
        <v>8910</v>
      </c>
      <c r="E276" t="s">
        <v>1204</v>
      </c>
      <c r="F276" t="s">
        <v>24</v>
      </c>
      <c r="G276" t="s">
        <v>1205</v>
      </c>
      <c r="H276" t="s">
        <v>17</v>
      </c>
      <c r="I276" t="s">
        <v>18</v>
      </c>
      <c r="J276" t="str">
        <f>"5149688815"</f>
        <v>5149688815</v>
      </c>
      <c r="K276" t="s">
        <v>1206</v>
      </c>
      <c r="L276" t="s">
        <v>220</v>
      </c>
      <c r="M276" t="s">
        <v>21</v>
      </c>
    </row>
    <row r="277" spans="1:13" x14ac:dyDescent="0.35">
      <c r="A277" t="str">
        <f>"204-9995"</f>
        <v>204-9995</v>
      </c>
      <c r="B277" t="s">
        <v>1207</v>
      </c>
      <c r="C277" t="str">
        <f>"2648"</f>
        <v>2648</v>
      </c>
      <c r="E277" t="s">
        <v>1208</v>
      </c>
      <c r="F277" t="s">
        <v>24</v>
      </c>
      <c r="G277" t="s">
        <v>1209</v>
      </c>
      <c r="H277" t="s">
        <v>17</v>
      </c>
      <c r="I277" t="s">
        <v>18</v>
      </c>
      <c r="J277" t="str">
        <f>"4385095752"</f>
        <v>4385095752</v>
      </c>
      <c r="K277" t="s">
        <v>1210</v>
      </c>
      <c r="L277" t="s">
        <v>168</v>
      </c>
      <c r="M277" t="s">
        <v>21</v>
      </c>
    </row>
    <row r="278" spans="1:13" x14ac:dyDescent="0.35">
      <c r="A278" t="str">
        <f>"210-0512"</f>
        <v>210-0512</v>
      </c>
      <c r="B278" t="s">
        <v>1211</v>
      </c>
      <c r="C278" t="str">
        <f>"5000"</f>
        <v>5000</v>
      </c>
      <c r="D278" t="str">
        <f>"7"</f>
        <v>7</v>
      </c>
      <c r="E278" t="s">
        <v>67</v>
      </c>
      <c r="F278" t="s">
        <v>24</v>
      </c>
      <c r="G278" t="s">
        <v>1212</v>
      </c>
      <c r="H278" t="s">
        <v>17</v>
      </c>
      <c r="I278" t="s">
        <v>18</v>
      </c>
      <c r="J278" t="str">
        <f>"5149497894"</f>
        <v>5149497894</v>
      </c>
      <c r="K278" t="s">
        <v>1213</v>
      </c>
      <c r="L278" t="s">
        <v>76</v>
      </c>
      <c r="M278" t="s">
        <v>21</v>
      </c>
    </row>
    <row r="279" spans="1:13" x14ac:dyDescent="0.35">
      <c r="A279" t="str">
        <f>"210-0762"</f>
        <v>210-0762</v>
      </c>
      <c r="B279" t="s">
        <v>1214</v>
      </c>
      <c r="C279" t="str">
        <f>"3469"</f>
        <v>3469</v>
      </c>
      <c r="D279" t="str">
        <f>"346"</f>
        <v>346</v>
      </c>
      <c r="E279" t="s">
        <v>455</v>
      </c>
      <c r="F279" t="s">
        <v>24</v>
      </c>
      <c r="G279" t="s">
        <v>1097</v>
      </c>
      <c r="H279" t="s">
        <v>17</v>
      </c>
      <c r="I279" t="s">
        <v>18</v>
      </c>
      <c r="J279" t="str">
        <f>"4384596479"</f>
        <v>4384596479</v>
      </c>
      <c r="K279" t="s">
        <v>1215</v>
      </c>
      <c r="L279" t="s">
        <v>220</v>
      </c>
      <c r="M279" t="s">
        <v>21</v>
      </c>
    </row>
    <row r="280" spans="1:13" x14ac:dyDescent="0.35">
      <c r="A280" t="str">
        <f>"203-8627"</f>
        <v>203-8627</v>
      </c>
      <c r="B280" t="s">
        <v>1217</v>
      </c>
      <c r="C280" t="str">
        <f>"235"</f>
        <v>235</v>
      </c>
      <c r="D280" t="str">
        <f>"6"</f>
        <v>6</v>
      </c>
      <c r="E280" t="s">
        <v>1218</v>
      </c>
      <c r="F280" t="s">
        <v>40</v>
      </c>
      <c r="G280" t="s">
        <v>1219</v>
      </c>
      <c r="H280" t="s">
        <v>17</v>
      </c>
      <c r="I280" t="s">
        <v>18</v>
      </c>
      <c r="J280" t="str">
        <f>"5146903531"</f>
        <v>5146903531</v>
      </c>
      <c r="K280" t="s">
        <v>1220</v>
      </c>
      <c r="L280" t="s">
        <v>76</v>
      </c>
      <c r="M280" t="s">
        <v>21</v>
      </c>
    </row>
    <row r="281" spans="1:13" x14ac:dyDescent="0.35">
      <c r="A281" t="str">
        <f>"036-9964"</f>
        <v>036-9964</v>
      </c>
      <c r="B281" t="s">
        <v>1221</v>
      </c>
      <c r="C281" t="str">
        <f>"6660"</f>
        <v>6660</v>
      </c>
      <c r="D281" t="str">
        <f>"06"</f>
        <v>06</v>
      </c>
      <c r="E281" t="s">
        <v>1222</v>
      </c>
      <c r="F281" t="s">
        <v>24</v>
      </c>
      <c r="G281" t="s">
        <v>1223</v>
      </c>
      <c r="H281" t="s">
        <v>17</v>
      </c>
      <c r="I281" t="s">
        <v>18</v>
      </c>
      <c r="J281" t="str">
        <f>"5142238832"</f>
        <v>5142238832</v>
      </c>
      <c r="K281" t="s">
        <v>1224</v>
      </c>
      <c r="L281" t="s">
        <v>39</v>
      </c>
      <c r="M281" t="s">
        <v>21</v>
      </c>
    </row>
    <row r="282" spans="1:13" x14ac:dyDescent="0.35">
      <c r="A282" t="str">
        <f>"615-9339"</f>
        <v>615-9339</v>
      </c>
      <c r="B282" t="s">
        <v>1225</v>
      </c>
      <c r="C282" t="str">
        <f>"367"</f>
        <v>367</v>
      </c>
      <c r="E282" t="s">
        <v>1226</v>
      </c>
      <c r="F282" t="s">
        <v>1227</v>
      </c>
      <c r="G282" t="s">
        <v>1228</v>
      </c>
      <c r="H282" t="s">
        <v>17</v>
      </c>
      <c r="I282" t="s">
        <v>18</v>
      </c>
      <c r="J282" t="str">
        <f>"4387007070"</f>
        <v>4387007070</v>
      </c>
      <c r="K282" t="s">
        <v>1229</v>
      </c>
      <c r="L282" t="s">
        <v>198</v>
      </c>
      <c r="M282" t="s">
        <v>21</v>
      </c>
    </row>
    <row r="283" spans="1:13" x14ac:dyDescent="0.35">
      <c r="A283" t="str">
        <f>"615-8603"</f>
        <v>615-8603</v>
      </c>
      <c r="B283" t="s">
        <v>1231</v>
      </c>
      <c r="C283" t="str">
        <f>"610"</f>
        <v>610</v>
      </c>
      <c r="E283" t="s">
        <v>1232</v>
      </c>
      <c r="F283" t="s">
        <v>430</v>
      </c>
      <c r="G283" t="s">
        <v>1233</v>
      </c>
      <c r="H283" t="s">
        <v>17</v>
      </c>
      <c r="I283" t="s">
        <v>18</v>
      </c>
      <c r="J283" t="str">
        <f>"4384060944"</f>
        <v>4384060944</v>
      </c>
      <c r="K283" t="s">
        <v>1234</v>
      </c>
      <c r="L283" t="s">
        <v>193</v>
      </c>
      <c r="M283" t="s">
        <v>21</v>
      </c>
    </row>
    <row r="284" spans="1:13" x14ac:dyDescent="0.35">
      <c r="A284" t="str">
        <f>"177-6182"</f>
        <v>177-6182</v>
      </c>
      <c r="B284" t="s">
        <v>1236</v>
      </c>
      <c r="C284" t="str">
        <f>"9580"</f>
        <v>9580</v>
      </c>
      <c r="E284" t="s">
        <v>1237</v>
      </c>
      <c r="F284" t="s">
        <v>24</v>
      </c>
      <c r="G284" t="s">
        <v>1238</v>
      </c>
      <c r="H284" t="s">
        <v>17</v>
      </c>
      <c r="I284" t="s">
        <v>18</v>
      </c>
      <c r="J284" t="str">
        <f>"5147749580"</f>
        <v>5147749580</v>
      </c>
      <c r="K284" t="s">
        <v>1239</v>
      </c>
      <c r="L284" t="s">
        <v>76</v>
      </c>
      <c r="M284" t="s">
        <v>21</v>
      </c>
    </row>
    <row r="285" spans="1:13" x14ac:dyDescent="0.35">
      <c r="A285" t="str">
        <f>"177-8552"</f>
        <v>177-8552</v>
      </c>
      <c r="B285" t="s">
        <v>1240</v>
      </c>
      <c r="C285" t="str">
        <f>"8430"</f>
        <v>8430</v>
      </c>
      <c r="D285" t="str">
        <f>"6"</f>
        <v>6</v>
      </c>
      <c r="E285" t="s">
        <v>923</v>
      </c>
      <c r="F285" t="s">
        <v>24</v>
      </c>
      <c r="G285" t="s">
        <v>1241</v>
      </c>
      <c r="H285" t="s">
        <v>17</v>
      </c>
      <c r="I285" t="s">
        <v>18</v>
      </c>
      <c r="J285" t="str">
        <f>"4388556273"</f>
        <v>4388556273</v>
      </c>
      <c r="K285" t="s">
        <v>1242</v>
      </c>
      <c r="L285" t="s">
        <v>76</v>
      </c>
      <c r="M285" t="s">
        <v>21</v>
      </c>
    </row>
    <row r="286" spans="1:13" x14ac:dyDescent="0.35">
      <c r="A286" t="str">
        <f>"183-6800"</f>
        <v>183-6800</v>
      </c>
      <c r="B286" t="s">
        <v>1243</v>
      </c>
      <c r="C286" t="str">
        <f>"5963"</f>
        <v>5963</v>
      </c>
      <c r="E286" t="s">
        <v>1244</v>
      </c>
      <c r="F286" t="s">
        <v>54</v>
      </c>
      <c r="G286" t="s">
        <v>1245</v>
      </c>
      <c r="H286" t="s">
        <v>17</v>
      </c>
      <c r="I286" t="s">
        <v>18</v>
      </c>
      <c r="J286" t="str">
        <f>"5142600428"</f>
        <v>5142600428</v>
      </c>
      <c r="K286" t="s">
        <v>1246</v>
      </c>
      <c r="L286" t="s">
        <v>534</v>
      </c>
      <c r="M286" t="s">
        <v>21</v>
      </c>
    </row>
    <row r="287" spans="1:13" x14ac:dyDescent="0.35">
      <c r="A287" t="str">
        <f>"187-3460"</f>
        <v>187-3460</v>
      </c>
      <c r="B287" t="s">
        <v>1247</v>
      </c>
      <c r="C287" t="str">
        <f>"1252"</f>
        <v>1252</v>
      </c>
      <c r="E287" t="s">
        <v>1248</v>
      </c>
      <c r="F287" t="s">
        <v>24</v>
      </c>
      <c r="G287" t="s">
        <v>1249</v>
      </c>
      <c r="H287" t="s">
        <v>17</v>
      </c>
      <c r="I287" t="s">
        <v>18</v>
      </c>
      <c r="J287" t="str">
        <f>"5149245694"</f>
        <v>5149245694</v>
      </c>
      <c r="K287" t="s">
        <v>1250</v>
      </c>
      <c r="L287" t="s">
        <v>193</v>
      </c>
      <c r="M287" t="s">
        <v>21</v>
      </c>
    </row>
    <row r="288" spans="1:13" x14ac:dyDescent="0.35">
      <c r="A288" t="str">
        <f>"195-1388"</f>
        <v>195-1388</v>
      </c>
      <c r="B288" t="s">
        <v>1251</v>
      </c>
      <c r="C288" t="str">
        <f>"5706"</f>
        <v>5706</v>
      </c>
      <c r="E288" t="s">
        <v>100</v>
      </c>
      <c r="F288" t="s">
        <v>40</v>
      </c>
      <c r="G288" t="s">
        <v>1252</v>
      </c>
      <c r="H288" t="s">
        <v>17</v>
      </c>
      <c r="I288" t="s">
        <v>18</v>
      </c>
      <c r="J288" t="str">
        <f>"5145715656"</f>
        <v>5145715656</v>
      </c>
      <c r="K288" t="s">
        <v>1253</v>
      </c>
      <c r="L288" t="s">
        <v>396</v>
      </c>
      <c r="M288" t="s">
        <v>21</v>
      </c>
    </row>
    <row r="289" spans="1:13" x14ac:dyDescent="0.35">
      <c r="A289" t="str">
        <f>"203-1163"</f>
        <v>203-1163</v>
      </c>
      <c r="B289" t="s">
        <v>1254</v>
      </c>
      <c r="C289" t="str">
        <f>"288"</f>
        <v>288</v>
      </c>
      <c r="E289" t="s">
        <v>755</v>
      </c>
      <c r="F289" t="s">
        <v>24</v>
      </c>
      <c r="G289" t="s">
        <v>1255</v>
      </c>
      <c r="H289" t="s">
        <v>17</v>
      </c>
      <c r="I289" t="s">
        <v>18</v>
      </c>
      <c r="J289" t="str">
        <f>"5147787246"</f>
        <v>5147787246</v>
      </c>
      <c r="K289" t="s">
        <v>1256</v>
      </c>
      <c r="L289" t="s">
        <v>76</v>
      </c>
      <c r="M289" t="s">
        <v>21</v>
      </c>
    </row>
    <row r="290" spans="1:13" x14ac:dyDescent="0.35">
      <c r="A290" t="str">
        <f>"204-2029"</f>
        <v>204-2029</v>
      </c>
      <c r="B290" t="s">
        <v>1257</v>
      </c>
      <c r="C290" t="str">
        <f>"1293"</f>
        <v>1293</v>
      </c>
      <c r="E290" t="s">
        <v>688</v>
      </c>
      <c r="F290" t="s">
        <v>32</v>
      </c>
      <c r="G290" t="s">
        <v>1258</v>
      </c>
      <c r="H290" t="s">
        <v>17</v>
      </c>
      <c r="I290" t="s">
        <v>18</v>
      </c>
      <c r="J290" t="str">
        <f>"4385227355"</f>
        <v>4385227355</v>
      </c>
      <c r="K290" t="s">
        <v>1259</v>
      </c>
      <c r="L290" t="s">
        <v>27</v>
      </c>
      <c r="M290" t="s">
        <v>21</v>
      </c>
    </row>
    <row r="291" spans="1:13" x14ac:dyDescent="0.35">
      <c r="A291" t="str">
        <f>"206-8550"</f>
        <v>206-8550</v>
      </c>
      <c r="B291" t="s">
        <v>1260</v>
      </c>
      <c r="C291" t="str">
        <f>"6545"</f>
        <v>6545</v>
      </c>
      <c r="D291" t="str">
        <f>"3"</f>
        <v>3</v>
      </c>
      <c r="E291" t="s">
        <v>1261</v>
      </c>
      <c r="F291" t="s">
        <v>24</v>
      </c>
      <c r="G291" t="s">
        <v>1262</v>
      </c>
      <c r="H291" t="s">
        <v>17</v>
      </c>
      <c r="I291" t="s">
        <v>18</v>
      </c>
      <c r="J291" t="str">
        <f>"4384836027"</f>
        <v>4384836027</v>
      </c>
      <c r="K291" t="s">
        <v>1263</v>
      </c>
      <c r="L291" t="s">
        <v>27</v>
      </c>
      <c r="M291" t="s">
        <v>21</v>
      </c>
    </row>
    <row r="292" spans="1:13" x14ac:dyDescent="0.35">
      <c r="A292" t="str">
        <f>"207-6679"</f>
        <v>207-6679</v>
      </c>
      <c r="B292" t="s">
        <v>1264</v>
      </c>
      <c r="C292" t="str">
        <f>"4533"</f>
        <v>4533</v>
      </c>
      <c r="D292" t="str">
        <f>"A"</f>
        <v>A</v>
      </c>
      <c r="E292" t="s">
        <v>1265</v>
      </c>
      <c r="F292" t="s">
        <v>24</v>
      </c>
      <c r="G292" t="s">
        <v>1266</v>
      </c>
      <c r="H292" t="s">
        <v>17</v>
      </c>
      <c r="I292" t="s">
        <v>18</v>
      </c>
      <c r="J292" t="str">
        <f>"5793733132"</f>
        <v>5793733132</v>
      </c>
      <c r="K292" t="s">
        <v>1267</v>
      </c>
      <c r="L292" t="s">
        <v>220</v>
      </c>
      <c r="M292" t="s">
        <v>21</v>
      </c>
    </row>
    <row r="293" spans="1:13" x14ac:dyDescent="0.35">
      <c r="A293" t="str">
        <f>"207-8284"</f>
        <v>207-8284</v>
      </c>
      <c r="B293" t="s">
        <v>1268</v>
      </c>
      <c r="C293" t="str">
        <f>"385"</f>
        <v>385</v>
      </c>
      <c r="E293" t="s">
        <v>1269</v>
      </c>
      <c r="F293" t="s">
        <v>54</v>
      </c>
      <c r="G293" t="s">
        <v>1270</v>
      </c>
      <c r="H293" t="s">
        <v>17</v>
      </c>
      <c r="I293" t="s">
        <v>18</v>
      </c>
      <c r="J293" t="str">
        <f>"5146478981"</f>
        <v>5146478981</v>
      </c>
      <c r="K293" t="s">
        <v>1271</v>
      </c>
      <c r="L293" t="s">
        <v>869</v>
      </c>
      <c r="M293" t="s">
        <v>21</v>
      </c>
    </row>
    <row r="294" spans="1:13" x14ac:dyDescent="0.35">
      <c r="A294" t="str">
        <f>"207-8746"</f>
        <v>207-8746</v>
      </c>
      <c r="B294" t="s">
        <v>1272</v>
      </c>
      <c r="C294" t="str">
        <f>"101"</f>
        <v>101</v>
      </c>
      <c r="D294" t="str">
        <f>"520"</f>
        <v>520</v>
      </c>
      <c r="E294" t="s">
        <v>1273</v>
      </c>
      <c r="F294" t="s">
        <v>157</v>
      </c>
      <c r="G294" t="s">
        <v>1274</v>
      </c>
      <c r="H294" t="s">
        <v>17</v>
      </c>
      <c r="I294" t="s">
        <v>18</v>
      </c>
      <c r="J294" t="str">
        <f>"4388827669"</f>
        <v>4388827669</v>
      </c>
      <c r="K294" t="s">
        <v>1275</v>
      </c>
      <c r="L294" t="s">
        <v>137</v>
      </c>
      <c r="M294" t="s">
        <v>21</v>
      </c>
    </row>
    <row r="295" spans="1:13" x14ac:dyDescent="0.35">
      <c r="A295" t="str">
        <f>"208-6277"</f>
        <v>208-6277</v>
      </c>
      <c r="B295" t="s">
        <v>1277</v>
      </c>
      <c r="C295" t="str">
        <f>"6809"</f>
        <v>6809</v>
      </c>
      <c r="E295" t="s">
        <v>1278</v>
      </c>
      <c r="F295" t="s">
        <v>40</v>
      </c>
      <c r="G295" t="s">
        <v>1279</v>
      </c>
      <c r="H295" t="s">
        <v>17</v>
      </c>
      <c r="I295" t="s">
        <v>18</v>
      </c>
      <c r="J295" t="str">
        <f>"4385017577"</f>
        <v>4385017577</v>
      </c>
      <c r="K295" t="s">
        <v>1280</v>
      </c>
      <c r="L295" t="s">
        <v>168</v>
      </c>
      <c r="M295" t="s">
        <v>21</v>
      </c>
    </row>
    <row r="296" spans="1:13" x14ac:dyDescent="0.35">
      <c r="A296" t="str">
        <f>"616-0840"</f>
        <v>616-0840</v>
      </c>
      <c r="B296" t="s">
        <v>1282</v>
      </c>
      <c r="C296" t="str">
        <f>"5020"</f>
        <v>5020</v>
      </c>
      <c r="E296" t="s">
        <v>1283</v>
      </c>
      <c r="F296" t="s">
        <v>24</v>
      </c>
      <c r="G296" t="s">
        <v>1284</v>
      </c>
      <c r="H296" t="s">
        <v>17</v>
      </c>
      <c r="I296" t="s">
        <v>18</v>
      </c>
      <c r="J296" t="str">
        <f>"5142394102"</f>
        <v>5142394102</v>
      </c>
      <c r="K296" t="s">
        <v>1285</v>
      </c>
      <c r="L296" t="s">
        <v>86</v>
      </c>
      <c r="M296" t="s">
        <v>21</v>
      </c>
    </row>
    <row r="297" spans="1:13" x14ac:dyDescent="0.35">
      <c r="A297" t="str">
        <f>"616-1058"</f>
        <v>616-1058</v>
      </c>
      <c r="B297" t="s">
        <v>1286</v>
      </c>
      <c r="C297" t="str">
        <f>"6845"</f>
        <v>6845</v>
      </c>
      <c r="D297" t="str">
        <f>"2"</f>
        <v>2</v>
      </c>
      <c r="E297" t="s">
        <v>1287</v>
      </c>
      <c r="F297" t="s">
        <v>24</v>
      </c>
      <c r="G297" t="s">
        <v>1288</v>
      </c>
      <c r="H297" t="s">
        <v>17</v>
      </c>
      <c r="I297" t="s">
        <v>18</v>
      </c>
      <c r="J297" t="str">
        <f>"5146071535"</f>
        <v>5146071535</v>
      </c>
      <c r="K297" t="s">
        <v>1289</v>
      </c>
      <c r="L297" t="s">
        <v>168</v>
      </c>
      <c r="M297" t="s">
        <v>21</v>
      </c>
    </row>
    <row r="298" spans="1:13" x14ac:dyDescent="0.35">
      <c r="A298" t="str">
        <f>"205-7696"</f>
        <v>205-7696</v>
      </c>
      <c r="B298" t="s">
        <v>1290</v>
      </c>
      <c r="C298" t="str">
        <f>"3668"</f>
        <v>3668</v>
      </c>
      <c r="E298" t="s">
        <v>1291</v>
      </c>
      <c r="F298" t="s">
        <v>54</v>
      </c>
      <c r="G298" t="s">
        <v>1292</v>
      </c>
      <c r="H298" t="s">
        <v>17</v>
      </c>
      <c r="I298" t="s">
        <v>18</v>
      </c>
      <c r="J298" t="str">
        <f>"4388365134"</f>
        <v>4388365134</v>
      </c>
      <c r="K298" t="s">
        <v>1293</v>
      </c>
      <c r="L298" t="s">
        <v>396</v>
      </c>
      <c r="M298" t="s">
        <v>21</v>
      </c>
    </row>
    <row r="299" spans="1:13" x14ac:dyDescent="0.35">
      <c r="A299" t="str">
        <f>"107-9390"</f>
        <v>107-9390</v>
      </c>
      <c r="B299" t="s">
        <v>1294</v>
      </c>
      <c r="C299" t="str">
        <f>"2100"</f>
        <v>2100</v>
      </c>
      <c r="D299" t="str">
        <f>"306"</f>
        <v>306</v>
      </c>
      <c r="E299" t="s">
        <v>1295</v>
      </c>
      <c r="F299" t="s">
        <v>1296</v>
      </c>
      <c r="G299" t="s">
        <v>1297</v>
      </c>
      <c r="H299" t="s">
        <v>17</v>
      </c>
      <c r="I299" t="s">
        <v>18</v>
      </c>
      <c r="J299" t="str">
        <f>"5142661673"</f>
        <v>5142661673</v>
      </c>
      <c r="K299" t="s">
        <v>1298</v>
      </c>
      <c r="L299" t="s">
        <v>39</v>
      </c>
      <c r="M299" t="s">
        <v>21</v>
      </c>
    </row>
    <row r="300" spans="1:13" x14ac:dyDescent="0.35">
      <c r="A300" t="str">
        <f>"117-1914"</f>
        <v>117-1914</v>
      </c>
      <c r="B300" t="s">
        <v>1299</v>
      </c>
      <c r="C300" t="str">
        <f>"7011"</f>
        <v>7011</v>
      </c>
      <c r="E300" t="s">
        <v>1300</v>
      </c>
      <c r="F300" t="s">
        <v>40</v>
      </c>
      <c r="G300" t="s">
        <v>1301</v>
      </c>
      <c r="H300" t="s">
        <v>17</v>
      </c>
      <c r="I300" t="s">
        <v>18</v>
      </c>
      <c r="J300" t="str">
        <f>"5148339083"</f>
        <v>5148339083</v>
      </c>
      <c r="K300" t="s">
        <v>1302</v>
      </c>
      <c r="L300" t="s">
        <v>350</v>
      </c>
      <c r="M300" t="s">
        <v>21</v>
      </c>
    </row>
    <row r="301" spans="1:13" x14ac:dyDescent="0.35">
      <c r="A301" t="str">
        <f>"127-1850"</f>
        <v>127-1850</v>
      </c>
      <c r="B301" t="s">
        <v>1303</v>
      </c>
      <c r="C301" t="str">
        <f>"109"</f>
        <v>109</v>
      </c>
      <c r="E301" t="s">
        <v>1304</v>
      </c>
      <c r="F301" t="s">
        <v>24</v>
      </c>
      <c r="G301" t="s">
        <v>1305</v>
      </c>
      <c r="H301" t="s">
        <v>17</v>
      </c>
      <c r="I301" t="s">
        <v>18</v>
      </c>
      <c r="J301" t="str">
        <f>"4387280523"</f>
        <v>4387280523</v>
      </c>
      <c r="K301" t="s">
        <v>1306</v>
      </c>
      <c r="L301" t="s">
        <v>86</v>
      </c>
      <c r="M301" t="s">
        <v>21</v>
      </c>
    </row>
    <row r="302" spans="1:13" x14ac:dyDescent="0.35">
      <c r="A302" t="str">
        <f>"167-5269"</f>
        <v>167-5269</v>
      </c>
      <c r="B302" t="s">
        <v>1307</v>
      </c>
      <c r="C302" t="str">
        <f>"590"</f>
        <v>590</v>
      </c>
      <c r="D302" t="str">
        <f>"206"</f>
        <v>206</v>
      </c>
      <c r="E302" t="s">
        <v>581</v>
      </c>
      <c r="F302" t="s">
        <v>24</v>
      </c>
      <c r="G302" t="s">
        <v>1308</v>
      </c>
      <c r="H302" t="s">
        <v>17</v>
      </c>
      <c r="I302" t="s">
        <v>18</v>
      </c>
      <c r="J302" t="str">
        <f>"4388818094"</f>
        <v>4388818094</v>
      </c>
      <c r="K302" t="s">
        <v>1309</v>
      </c>
      <c r="L302" t="s">
        <v>27</v>
      </c>
      <c r="M302" t="s">
        <v>21</v>
      </c>
    </row>
    <row r="303" spans="1:13" x14ac:dyDescent="0.35">
      <c r="A303" t="str">
        <f>"158-1479"</f>
        <v>158-1479</v>
      </c>
      <c r="B303" t="s">
        <v>1310</v>
      </c>
      <c r="C303" t="str">
        <f>"66"</f>
        <v>66</v>
      </c>
      <c r="E303" t="s">
        <v>1311</v>
      </c>
      <c r="F303" t="s">
        <v>54</v>
      </c>
      <c r="G303" t="s">
        <v>1312</v>
      </c>
      <c r="H303" t="s">
        <v>17</v>
      </c>
      <c r="I303" t="s">
        <v>18</v>
      </c>
      <c r="J303" t="str">
        <f>"4385066864"</f>
        <v>4385066864</v>
      </c>
      <c r="K303" t="s">
        <v>1313</v>
      </c>
      <c r="L303" t="s">
        <v>76</v>
      </c>
      <c r="M303" t="s">
        <v>21</v>
      </c>
    </row>
    <row r="304" spans="1:13" x14ac:dyDescent="0.35">
      <c r="A304" t="str">
        <f>"175-9000"</f>
        <v>175-9000</v>
      </c>
      <c r="B304" t="s">
        <v>1314</v>
      </c>
      <c r="C304" t="str">
        <f>"7520"</f>
        <v>7520</v>
      </c>
      <c r="E304" t="s">
        <v>1315</v>
      </c>
      <c r="F304" t="s">
        <v>24</v>
      </c>
      <c r="G304" t="s">
        <v>1316</v>
      </c>
      <c r="H304" t="s">
        <v>17</v>
      </c>
      <c r="I304" t="s">
        <v>18</v>
      </c>
      <c r="J304" t="str">
        <f>"4383956324"</f>
        <v>4383956324</v>
      </c>
      <c r="K304" t="s">
        <v>1317</v>
      </c>
      <c r="L304" t="s">
        <v>70</v>
      </c>
      <c r="M304" t="s">
        <v>21</v>
      </c>
    </row>
    <row r="305" spans="1:13" x14ac:dyDescent="0.35">
      <c r="A305" t="str">
        <f>"205-8572"</f>
        <v>205-8572</v>
      </c>
      <c r="B305" t="s">
        <v>1318</v>
      </c>
      <c r="C305" t="str">
        <f>"4265"</f>
        <v>4265</v>
      </c>
      <c r="D305" t="str">
        <f>"4"</f>
        <v>4</v>
      </c>
      <c r="E305" t="s">
        <v>1319</v>
      </c>
      <c r="F305" t="s">
        <v>24</v>
      </c>
      <c r="G305" t="s">
        <v>1320</v>
      </c>
      <c r="H305" t="s">
        <v>17</v>
      </c>
      <c r="I305" t="s">
        <v>18</v>
      </c>
      <c r="J305" t="str">
        <f>"4388368577"</f>
        <v>4388368577</v>
      </c>
      <c r="K305" t="s">
        <v>1321</v>
      </c>
      <c r="L305" t="s">
        <v>27</v>
      </c>
      <c r="M305" t="s">
        <v>21</v>
      </c>
    </row>
    <row r="306" spans="1:13" x14ac:dyDescent="0.35">
      <c r="A306" t="str">
        <f>"207-8959"</f>
        <v>207-8959</v>
      </c>
      <c r="B306" t="s">
        <v>1322</v>
      </c>
      <c r="C306" t="str">
        <f>"3178"</f>
        <v>3178</v>
      </c>
      <c r="E306" t="s">
        <v>1323</v>
      </c>
      <c r="F306" t="s">
        <v>24</v>
      </c>
      <c r="G306" t="s">
        <v>1324</v>
      </c>
      <c r="H306" t="s">
        <v>17</v>
      </c>
      <c r="I306" t="s">
        <v>18</v>
      </c>
      <c r="J306" t="str">
        <f>"4389932005"</f>
        <v>4389932005</v>
      </c>
      <c r="K306" t="s">
        <v>1325</v>
      </c>
      <c r="L306" t="s">
        <v>168</v>
      </c>
      <c r="M306" t="s">
        <v>21</v>
      </c>
    </row>
    <row r="307" spans="1:13" x14ac:dyDescent="0.35">
      <c r="A307" t="str">
        <f>"208-2749"</f>
        <v>208-2749</v>
      </c>
      <c r="B307" t="s">
        <v>1326</v>
      </c>
      <c r="C307" t="str">
        <f>"11774"</f>
        <v>11774</v>
      </c>
      <c r="E307" t="s">
        <v>1327</v>
      </c>
      <c r="F307" t="s">
        <v>24</v>
      </c>
      <c r="G307" t="s">
        <v>1328</v>
      </c>
      <c r="H307" t="s">
        <v>17</v>
      </c>
      <c r="I307" t="s">
        <v>18</v>
      </c>
      <c r="J307" t="str">
        <f>"4385058952"</f>
        <v>4385058952</v>
      </c>
      <c r="K307" t="s">
        <v>1329</v>
      </c>
      <c r="L307" t="s">
        <v>168</v>
      </c>
      <c r="M307" t="s">
        <v>21</v>
      </c>
    </row>
    <row r="308" spans="1:13" x14ac:dyDescent="0.35">
      <c r="A308" t="str">
        <f>"616-4245"</f>
        <v>616-4245</v>
      </c>
      <c r="B308" t="s">
        <v>1330</v>
      </c>
      <c r="C308" t="str">
        <f>"8557"</f>
        <v>8557</v>
      </c>
      <c r="D308" t="str">
        <f>"8557"</f>
        <v>8557</v>
      </c>
      <c r="E308" t="s">
        <v>1331</v>
      </c>
      <c r="F308" t="s">
        <v>1332</v>
      </c>
      <c r="G308" t="s">
        <v>1333</v>
      </c>
      <c r="H308" t="s">
        <v>17</v>
      </c>
      <c r="I308" t="s">
        <v>18</v>
      </c>
      <c r="J308" t="str">
        <f>"4384086654"</f>
        <v>4384086654</v>
      </c>
      <c r="K308" t="s">
        <v>1334</v>
      </c>
      <c r="L308" t="s">
        <v>350</v>
      </c>
      <c r="M308" t="s">
        <v>21</v>
      </c>
    </row>
    <row r="309" spans="1:13" x14ac:dyDescent="0.35">
      <c r="A309" t="str">
        <f>"208-5542"</f>
        <v>208-5542</v>
      </c>
      <c r="B309" t="s">
        <v>1335</v>
      </c>
      <c r="C309" t="str">
        <f>"1924"</f>
        <v>1924</v>
      </c>
      <c r="E309" t="s">
        <v>286</v>
      </c>
      <c r="F309" t="s">
        <v>24</v>
      </c>
      <c r="G309" t="s">
        <v>1336</v>
      </c>
      <c r="H309" t="s">
        <v>17</v>
      </c>
      <c r="I309" t="s">
        <v>18</v>
      </c>
      <c r="J309" t="str">
        <f>"4386301924"</f>
        <v>4386301924</v>
      </c>
      <c r="K309" t="s">
        <v>1337</v>
      </c>
      <c r="L309" t="s">
        <v>220</v>
      </c>
      <c r="M309" t="s">
        <v>21</v>
      </c>
    </row>
    <row r="310" spans="1:13" x14ac:dyDescent="0.35">
      <c r="A310" t="str">
        <f>"154-1487"</f>
        <v>154-1487</v>
      </c>
      <c r="B310" t="s">
        <v>1338</v>
      </c>
      <c r="C310" t="str">
        <f>"7568"</f>
        <v>7568</v>
      </c>
      <c r="D310" t="str">
        <f>"A"</f>
        <v>A</v>
      </c>
      <c r="E310" t="s">
        <v>1339</v>
      </c>
      <c r="F310" t="s">
        <v>24</v>
      </c>
      <c r="G310" t="s">
        <v>1340</v>
      </c>
      <c r="H310" t="s">
        <v>17</v>
      </c>
      <c r="I310" t="s">
        <v>18</v>
      </c>
      <c r="J310" t="str">
        <f>"8195884786"</f>
        <v>8195884786</v>
      </c>
      <c r="K310" t="s">
        <v>1341</v>
      </c>
      <c r="L310" t="s">
        <v>198</v>
      </c>
      <c r="M310" t="s">
        <v>21</v>
      </c>
    </row>
    <row r="311" spans="1:13" x14ac:dyDescent="0.35">
      <c r="A311" t="str">
        <f>"616-8258"</f>
        <v>616-8258</v>
      </c>
      <c r="B311" t="s">
        <v>1342</v>
      </c>
      <c r="C311" t="str">
        <f>"6225"</f>
        <v>6225</v>
      </c>
      <c r="D311" t="str">
        <f>"4"</f>
        <v>4</v>
      </c>
      <c r="E311" t="s">
        <v>1343</v>
      </c>
      <c r="F311" t="s">
        <v>24</v>
      </c>
      <c r="G311" t="s">
        <v>1344</v>
      </c>
      <c r="H311" t="s">
        <v>17</v>
      </c>
      <c r="I311" t="s">
        <v>18</v>
      </c>
      <c r="J311" t="str">
        <f>"5147034910"</f>
        <v>5147034910</v>
      </c>
      <c r="K311" t="s">
        <v>1345</v>
      </c>
      <c r="L311" t="s">
        <v>88</v>
      </c>
      <c r="M311" t="s">
        <v>21</v>
      </c>
    </row>
    <row r="312" spans="1:13" x14ac:dyDescent="0.35">
      <c r="A312" t="str">
        <f>"984-1727"</f>
        <v>984-1727</v>
      </c>
      <c r="B312" t="s">
        <v>1346</v>
      </c>
      <c r="C312" t="str">
        <f>"852"</f>
        <v>852</v>
      </c>
      <c r="E312" t="s">
        <v>1347</v>
      </c>
      <c r="F312" t="s">
        <v>1348</v>
      </c>
      <c r="G312" t="s">
        <v>1349</v>
      </c>
      <c r="H312" t="s">
        <v>17</v>
      </c>
      <c r="I312" t="s">
        <v>18</v>
      </c>
      <c r="J312" t="str">
        <f>"5149801864"</f>
        <v>5149801864</v>
      </c>
      <c r="K312" t="s">
        <v>1350</v>
      </c>
      <c r="L312" t="s">
        <v>39</v>
      </c>
      <c r="M312" t="s">
        <v>21</v>
      </c>
    </row>
    <row r="313" spans="1:13" x14ac:dyDescent="0.35">
      <c r="A313" t="str">
        <f>"616-8148"</f>
        <v>616-8148</v>
      </c>
      <c r="B313" t="s">
        <v>1351</v>
      </c>
      <c r="C313" t="str">
        <f>"7060"</f>
        <v>7060</v>
      </c>
      <c r="D313" t="str">
        <f>"10"</f>
        <v>10</v>
      </c>
      <c r="E313" t="s">
        <v>1352</v>
      </c>
      <c r="F313" t="s">
        <v>24</v>
      </c>
      <c r="G313" t="s">
        <v>1353</v>
      </c>
      <c r="H313" t="s">
        <v>17</v>
      </c>
      <c r="I313" t="s">
        <v>18</v>
      </c>
      <c r="J313" t="str">
        <f>"4389785395"</f>
        <v>4389785395</v>
      </c>
      <c r="K313" t="s">
        <v>1354</v>
      </c>
      <c r="L313" t="s">
        <v>350</v>
      </c>
      <c r="M313" t="s">
        <v>21</v>
      </c>
    </row>
    <row r="314" spans="1:13" x14ac:dyDescent="0.35">
      <c r="A314" t="str">
        <f>"204-4336"</f>
        <v>204-4336</v>
      </c>
      <c r="B314" t="s">
        <v>1355</v>
      </c>
      <c r="C314" t="str">
        <f>"152"</f>
        <v>152</v>
      </c>
      <c r="D314" t="str">
        <f>"06"</f>
        <v>06</v>
      </c>
      <c r="E314" t="s">
        <v>755</v>
      </c>
      <c r="F314" t="s">
        <v>24</v>
      </c>
      <c r="G314" t="s">
        <v>1255</v>
      </c>
      <c r="H314" t="s">
        <v>17</v>
      </c>
      <c r="I314" t="s">
        <v>18</v>
      </c>
      <c r="J314" t="str">
        <f>"4389880115"</f>
        <v>4389880115</v>
      </c>
      <c r="K314" t="s">
        <v>1356</v>
      </c>
      <c r="L314" t="s">
        <v>350</v>
      </c>
      <c r="M314" t="s">
        <v>21</v>
      </c>
    </row>
    <row r="315" spans="1:13" x14ac:dyDescent="0.35">
      <c r="A315" t="str">
        <f>"210-1374"</f>
        <v>210-1374</v>
      </c>
      <c r="B315" t="s">
        <v>1357</v>
      </c>
      <c r="C315" t="str">
        <f>"2055"</f>
        <v>2055</v>
      </c>
      <c r="D315" t="str">
        <f>"401"</f>
        <v>401</v>
      </c>
      <c r="E315" t="s">
        <v>1358</v>
      </c>
      <c r="F315" t="s">
        <v>40</v>
      </c>
      <c r="G315" t="s">
        <v>1359</v>
      </c>
      <c r="H315" t="s">
        <v>17</v>
      </c>
      <c r="I315" t="s">
        <v>18</v>
      </c>
      <c r="J315" t="str">
        <f>"4385404892"</f>
        <v>4385404892</v>
      </c>
      <c r="K315" t="s">
        <v>1360</v>
      </c>
      <c r="L315" t="s">
        <v>168</v>
      </c>
      <c r="M315" t="s">
        <v>21</v>
      </c>
    </row>
    <row r="316" spans="1:13" x14ac:dyDescent="0.35">
      <c r="A316" t="str">
        <f>"008-4908"</f>
        <v>008-4908</v>
      </c>
      <c r="B316" t="s">
        <v>1361</v>
      </c>
      <c r="C316" t="str">
        <f>"8418"</f>
        <v>8418</v>
      </c>
      <c r="E316" t="s">
        <v>1362</v>
      </c>
      <c r="F316" t="s">
        <v>24</v>
      </c>
      <c r="G316" t="s">
        <v>1363</v>
      </c>
      <c r="H316" t="s">
        <v>17</v>
      </c>
      <c r="I316" t="s">
        <v>18</v>
      </c>
      <c r="J316" t="str">
        <f>"4384028553"</f>
        <v>4384028553</v>
      </c>
      <c r="K316" t="s">
        <v>1364</v>
      </c>
      <c r="L316" t="s">
        <v>20</v>
      </c>
      <c r="M316" t="s">
        <v>21</v>
      </c>
    </row>
    <row r="317" spans="1:13" x14ac:dyDescent="0.35">
      <c r="A317" t="str">
        <f>"190-9451"</f>
        <v>190-9451</v>
      </c>
      <c r="B317" t="s">
        <v>1365</v>
      </c>
      <c r="C317" t="str">
        <f>"3186"</f>
        <v>3186</v>
      </c>
      <c r="D317" t="str">
        <f>"5"</f>
        <v>5</v>
      </c>
      <c r="E317" t="s">
        <v>1366</v>
      </c>
      <c r="F317" t="s">
        <v>24</v>
      </c>
      <c r="G317" t="s">
        <v>1367</v>
      </c>
      <c r="H317" t="s">
        <v>17</v>
      </c>
      <c r="I317" t="s">
        <v>18</v>
      </c>
      <c r="J317" t="str">
        <f>"4386307994"</f>
        <v>4386307994</v>
      </c>
      <c r="K317" t="s">
        <v>1368</v>
      </c>
      <c r="L317" t="s">
        <v>76</v>
      </c>
      <c r="M317" t="s">
        <v>21</v>
      </c>
    </row>
    <row r="318" spans="1:13" x14ac:dyDescent="0.35">
      <c r="A318" t="str">
        <f>"208-7379"</f>
        <v>208-7379</v>
      </c>
      <c r="B318" t="s">
        <v>1369</v>
      </c>
      <c r="C318" t="str">
        <f>"2990"</f>
        <v>2990</v>
      </c>
      <c r="D318" t="str">
        <f>"7"</f>
        <v>7</v>
      </c>
      <c r="E318" t="s">
        <v>1370</v>
      </c>
      <c r="F318" t="s">
        <v>24</v>
      </c>
      <c r="G318" t="s">
        <v>1371</v>
      </c>
      <c r="H318" t="s">
        <v>17</v>
      </c>
      <c r="I318" t="s">
        <v>18</v>
      </c>
      <c r="J318" t="str">
        <f>"4384592321"</f>
        <v>4384592321</v>
      </c>
      <c r="K318" t="s">
        <v>1372</v>
      </c>
      <c r="L318" t="s">
        <v>86</v>
      </c>
      <c r="M318" t="s">
        <v>21</v>
      </c>
    </row>
    <row r="319" spans="1:13" x14ac:dyDescent="0.35">
      <c r="A319" t="str">
        <f>"210-8191"</f>
        <v>210-8191</v>
      </c>
      <c r="B319" t="s">
        <v>1373</v>
      </c>
      <c r="C319" t="str">
        <f>"4050"</f>
        <v>4050</v>
      </c>
      <c r="E319" t="s">
        <v>1063</v>
      </c>
      <c r="F319" t="s">
        <v>143</v>
      </c>
      <c r="G319" t="s">
        <v>1374</v>
      </c>
      <c r="H319" t="s">
        <v>17</v>
      </c>
      <c r="I319" t="s">
        <v>18</v>
      </c>
      <c r="J319" t="str">
        <f>"5145318368"</f>
        <v>5145318368</v>
      </c>
      <c r="K319" t="s">
        <v>1375</v>
      </c>
      <c r="L319" t="s">
        <v>27</v>
      </c>
      <c r="M319" t="s">
        <v>21</v>
      </c>
    </row>
    <row r="320" spans="1:13" x14ac:dyDescent="0.35">
      <c r="A320" t="str">
        <f>"203-4888"</f>
        <v>203-4888</v>
      </c>
      <c r="B320" t="s">
        <v>1376</v>
      </c>
      <c r="C320" t="str">
        <f>"1502"</f>
        <v>1502</v>
      </c>
      <c r="D320" t="str">
        <f>"1502"</f>
        <v>1502</v>
      </c>
      <c r="E320" t="s">
        <v>1377</v>
      </c>
      <c r="F320" t="s">
        <v>24</v>
      </c>
      <c r="G320" t="s">
        <v>1378</v>
      </c>
      <c r="H320" t="s">
        <v>17</v>
      </c>
      <c r="I320" t="s">
        <v>18</v>
      </c>
      <c r="J320" t="str">
        <f>"4385249354"</f>
        <v>4385249354</v>
      </c>
      <c r="K320" t="s">
        <v>1379</v>
      </c>
      <c r="L320" t="s">
        <v>383</v>
      </c>
      <c r="M320" t="s">
        <v>21</v>
      </c>
    </row>
    <row r="321" spans="1:13" x14ac:dyDescent="0.35">
      <c r="A321" t="str">
        <f>"204-6373"</f>
        <v>204-6373</v>
      </c>
      <c r="B321" t="s">
        <v>1380</v>
      </c>
      <c r="C321" t="str">
        <f>"7117"</f>
        <v>7117</v>
      </c>
      <c r="D321" t="str">
        <f>"4"</f>
        <v>4</v>
      </c>
      <c r="E321" t="s">
        <v>75</v>
      </c>
      <c r="F321" t="s">
        <v>24</v>
      </c>
      <c r="G321" t="s">
        <v>1381</v>
      </c>
      <c r="H321" t="s">
        <v>17</v>
      </c>
      <c r="I321" t="s">
        <v>18</v>
      </c>
      <c r="J321" t="str">
        <f>"4384685776"</f>
        <v>4384685776</v>
      </c>
      <c r="K321" t="s">
        <v>1382</v>
      </c>
      <c r="L321" t="s">
        <v>137</v>
      </c>
      <c r="M321" t="s">
        <v>21</v>
      </c>
    </row>
    <row r="322" spans="1:13" x14ac:dyDescent="0.35">
      <c r="A322" t="str">
        <f>"210-8655"</f>
        <v>210-8655</v>
      </c>
      <c r="B322" t="s">
        <v>1384</v>
      </c>
      <c r="C322" t="str">
        <f>"6171"</f>
        <v>6171</v>
      </c>
      <c r="D322" t="str">
        <f>"6"</f>
        <v>6</v>
      </c>
      <c r="E322" t="s">
        <v>1385</v>
      </c>
      <c r="F322" t="s">
        <v>24</v>
      </c>
      <c r="G322" t="s">
        <v>1386</v>
      </c>
      <c r="H322" t="s">
        <v>17</v>
      </c>
      <c r="I322" t="s">
        <v>18</v>
      </c>
      <c r="J322" t="str">
        <f>"5149267731"</f>
        <v>5149267731</v>
      </c>
      <c r="K322" t="s">
        <v>1387</v>
      </c>
      <c r="L322" t="s">
        <v>350</v>
      </c>
      <c r="M322" t="s">
        <v>21</v>
      </c>
    </row>
    <row r="323" spans="1:13" x14ac:dyDescent="0.35">
      <c r="A323" t="str">
        <f>"155-0996"</f>
        <v>155-0996</v>
      </c>
      <c r="B323" t="s">
        <v>1389</v>
      </c>
      <c r="C323" t="str">
        <f>"115"</f>
        <v>115</v>
      </c>
      <c r="D323" t="str">
        <f>"406"</f>
        <v>406</v>
      </c>
      <c r="E323" t="s">
        <v>1390</v>
      </c>
      <c r="F323" t="s">
        <v>24</v>
      </c>
      <c r="G323" t="s">
        <v>1391</v>
      </c>
      <c r="H323" t="s">
        <v>17</v>
      </c>
      <c r="I323" t="s">
        <v>18</v>
      </c>
      <c r="J323" t="str">
        <f>"5147972151"</f>
        <v>5147972151</v>
      </c>
      <c r="K323" t="s">
        <v>1392</v>
      </c>
      <c r="L323" t="s">
        <v>76</v>
      </c>
      <c r="M323" t="s">
        <v>21</v>
      </c>
    </row>
    <row r="324" spans="1:13" x14ac:dyDescent="0.35">
      <c r="A324" t="str">
        <f>"160-4348"</f>
        <v>160-4348</v>
      </c>
      <c r="B324" t="s">
        <v>1393</v>
      </c>
      <c r="C324" t="str">
        <f>"1162"</f>
        <v>1162</v>
      </c>
      <c r="E324" t="s">
        <v>23</v>
      </c>
      <c r="F324" t="s">
        <v>24</v>
      </c>
      <c r="G324" t="s">
        <v>25</v>
      </c>
      <c r="H324" t="s">
        <v>17</v>
      </c>
      <c r="I324" t="s">
        <v>18</v>
      </c>
      <c r="J324" t="str">
        <f>"4389330576"</f>
        <v>4389330576</v>
      </c>
      <c r="K324" t="s">
        <v>1394</v>
      </c>
      <c r="L324" t="s">
        <v>27</v>
      </c>
      <c r="M324" t="s">
        <v>21</v>
      </c>
    </row>
    <row r="325" spans="1:13" x14ac:dyDescent="0.35">
      <c r="A325" t="str">
        <f>"173-7050"</f>
        <v>173-7050</v>
      </c>
      <c r="B325" t="s">
        <v>1395</v>
      </c>
      <c r="C325" t="str">
        <f>"10207"</f>
        <v>10207</v>
      </c>
      <c r="E325" t="s">
        <v>1396</v>
      </c>
      <c r="F325" t="s">
        <v>24</v>
      </c>
      <c r="G325" t="s">
        <v>1397</v>
      </c>
      <c r="H325" t="s">
        <v>17</v>
      </c>
      <c r="I325" t="s">
        <v>18</v>
      </c>
      <c r="J325" t="str">
        <f>"5148078099"</f>
        <v>5148078099</v>
      </c>
      <c r="K325" t="s">
        <v>1398</v>
      </c>
      <c r="L325" t="s">
        <v>168</v>
      </c>
      <c r="M325" t="s">
        <v>21</v>
      </c>
    </row>
    <row r="326" spans="1:13" x14ac:dyDescent="0.35">
      <c r="A326" t="str">
        <f>"182-3428"</f>
        <v>182-3428</v>
      </c>
      <c r="B326" t="s">
        <v>1399</v>
      </c>
      <c r="C326" t="str">
        <f>"345"</f>
        <v>345</v>
      </c>
      <c r="E326" t="s">
        <v>1400</v>
      </c>
      <c r="F326" t="s">
        <v>1401</v>
      </c>
      <c r="G326" t="s">
        <v>1402</v>
      </c>
      <c r="H326" t="s">
        <v>17</v>
      </c>
      <c r="I326" t="s">
        <v>18</v>
      </c>
      <c r="J326" t="str">
        <f>"4505433015"</f>
        <v>4505433015</v>
      </c>
      <c r="K326" t="s">
        <v>1403</v>
      </c>
      <c r="L326" t="s">
        <v>313</v>
      </c>
      <c r="M326" t="s">
        <v>21</v>
      </c>
    </row>
    <row r="327" spans="1:13" x14ac:dyDescent="0.35">
      <c r="A327" t="str">
        <f>"184-6508"</f>
        <v>184-6508</v>
      </c>
      <c r="B327" t="s">
        <v>1404</v>
      </c>
      <c r="C327" t="str">
        <f>"1482"</f>
        <v>1482</v>
      </c>
      <c r="E327" t="s">
        <v>1405</v>
      </c>
      <c r="F327" t="s">
        <v>430</v>
      </c>
      <c r="G327" t="s">
        <v>1406</v>
      </c>
      <c r="H327" t="s">
        <v>17</v>
      </c>
      <c r="I327" t="s">
        <v>18</v>
      </c>
      <c r="J327" t="str">
        <f>"4388860651"</f>
        <v>4388860651</v>
      </c>
      <c r="K327" t="s">
        <v>1407</v>
      </c>
      <c r="L327" t="s">
        <v>76</v>
      </c>
      <c r="M327" t="s">
        <v>21</v>
      </c>
    </row>
    <row r="328" spans="1:13" x14ac:dyDescent="0.35">
      <c r="A328" t="str">
        <f>"219-9000"</f>
        <v>219-9000</v>
      </c>
      <c r="B328" t="s">
        <v>1408</v>
      </c>
      <c r="C328" t="str">
        <f>"98"</f>
        <v>98</v>
      </c>
      <c r="E328" t="s">
        <v>1409</v>
      </c>
      <c r="F328" t="s">
        <v>24</v>
      </c>
      <c r="G328" t="s">
        <v>1410</v>
      </c>
      <c r="H328" t="s">
        <v>17</v>
      </c>
      <c r="I328" t="s">
        <v>18</v>
      </c>
      <c r="J328" t="str">
        <f>"5146492601"</f>
        <v>5146492601</v>
      </c>
      <c r="K328" t="s">
        <v>1411</v>
      </c>
      <c r="L328" t="s">
        <v>220</v>
      </c>
      <c r="M328" t="s">
        <v>21</v>
      </c>
    </row>
    <row r="329" spans="1:13" x14ac:dyDescent="0.35">
      <c r="A329" t="str">
        <f>"195-7116"</f>
        <v>195-7116</v>
      </c>
      <c r="B329" t="s">
        <v>1412</v>
      </c>
      <c r="C329" t="str">
        <f>"5850"</f>
        <v>5850</v>
      </c>
      <c r="E329" t="s">
        <v>1413</v>
      </c>
      <c r="F329" t="s">
        <v>24</v>
      </c>
      <c r="G329" t="s">
        <v>1414</v>
      </c>
      <c r="H329" t="s">
        <v>17</v>
      </c>
      <c r="I329" t="s">
        <v>18</v>
      </c>
      <c r="J329" t="str">
        <f>"4386221612"</f>
        <v>4386221612</v>
      </c>
      <c r="K329" t="s">
        <v>1415</v>
      </c>
      <c r="L329" t="s">
        <v>220</v>
      </c>
      <c r="M329" t="s">
        <v>21</v>
      </c>
    </row>
    <row r="330" spans="1:13" x14ac:dyDescent="0.35">
      <c r="A330" t="str">
        <f>"195-7306"</f>
        <v>195-7306</v>
      </c>
      <c r="B330" t="s">
        <v>1416</v>
      </c>
      <c r="C330" t="str">
        <f>"8175"</f>
        <v>8175</v>
      </c>
      <c r="E330" t="s">
        <v>1417</v>
      </c>
      <c r="F330" t="s">
        <v>54</v>
      </c>
      <c r="G330" t="s">
        <v>1418</v>
      </c>
      <c r="H330" t="s">
        <v>17</v>
      </c>
      <c r="I330" t="s">
        <v>18</v>
      </c>
      <c r="J330" t="str">
        <f>"4384955713"</f>
        <v>4384955713</v>
      </c>
      <c r="K330" t="s">
        <v>1419</v>
      </c>
      <c r="L330" t="s">
        <v>313</v>
      </c>
      <c r="M330" t="s">
        <v>21</v>
      </c>
    </row>
    <row r="331" spans="1:13" x14ac:dyDescent="0.35">
      <c r="A331" t="str">
        <f>"204-5294"</f>
        <v>204-5294</v>
      </c>
      <c r="B331" t="s">
        <v>1420</v>
      </c>
      <c r="C331" t="str">
        <f>"5175"</f>
        <v>5175</v>
      </c>
      <c r="D331" t="str">
        <f>"1114"</f>
        <v>1114</v>
      </c>
      <c r="E331" t="s">
        <v>1421</v>
      </c>
      <c r="F331" t="s">
        <v>24</v>
      </c>
      <c r="G331" t="s">
        <v>1422</v>
      </c>
      <c r="H331" t="s">
        <v>17</v>
      </c>
      <c r="I331" t="s">
        <v>18</v>
      </c>
      <c r="J331" t="str">
        <f>"4388748117"</f>
        <v>4388748117</v>
      </c>
      <c r="K331" t="s">
        <v>1423</v>
      </c>
      <c r="L331" t="s">
        <v>193</v>
      </c>
      <c r="M331" t="s">
        <v>21</v>
      </c>
    </row>
    <row r="332" spans="1:13" x14ac:dyDescent="0.35">
      <c r="A332" t="str">
        <f>"207-3544"</f>
        <v>207-3544</v>
      </c>
      <c r="B332" t="s">
        <v>1424</v>
      </c>
      <c r="C332" t="str">
        <f>"6060"</f>
        <v>6060</v>
      </c>
      <c r="E332" t="s">
        <v>1425</v>
      </c>
      <c r="F332" t="s">
        <v>24</v>
      </c>
      <c r="G332" t="s">
        <v>1426</v>
      </c>
      <c r="H332" t="s">
        <v>17</v>
      </c>
      <c r="I332" t="s">
        <v>18</v>
      </c>
      <c r="J332" t="str">
        <f>"4388774767"</f>
        <v>4388774767</v>
      </c>
      <c r="K332" t="s">
        <v>1427</v>
      </c>
      <c r="L332" t="s">
        <v>193</v>
      </c>
      <c r="M332" t="s">
        <v>21</v>
      </c>
    </row>
    <row r="333" spans="1:13" x14ac:dyDescent="0.35">
      <c r="A333" t="str">
        <f>"210-5117"</f>
        <v>210-5117</v>
      </c>
      <c r="B333" t="s">
        <v>1428</v>
      </c>
      <c r="C333" t="str">
        <f>"6224"</f>
        <v>6224</v>
      </c>
      <c r="E333" t="s">
        <v>1429</v>
      </c>
      <c r="F333" t="s">
        <v>24</v>
      </c>
      <c r="G333" t="s">
        <v>1430</v>
      </c>
      <c r="H333" t="s">
        <v>17</v>
      </c>
      <c r="I333" t="s">
        <v>18</v>
      </c>
      <c r="J333" t="str">
        <f>"5145495739"</f>
        <v>5145495739</v>
      </c>
      <c r="K333" t="s">
        <v>1431</v>
      </c>
      <c r="L333" t="s">
        <v>350</v>
      </c>
      <c r="M333" t="s">
        <v>21</v>
      </c>
    </row>
    <row r="334" spans="1:13" x14ac:dyDescent="0.35">
      <c r="A334" t="str">
        <f>"210-5515"</f>
        <v>210-5515</v>
      </c>
      <c r="B334" t="s">
        <v>1432</v>
      </c>
      <c r="C334" t="str">
        <f>"1480"</f>
        <v>1480</v>
      </c>
      <c r="D334" t="str">
        <f>"25"</f>
        <v>25</v>
      </c>
      <c r="E334" t="s">
        <v>942</v>
      </c>
      <c r="F334" t="s">
        <v>24</v>
      </c>
      <c r="G334" t="s">
        <v>1433</v>
      </c>
      <c r="H334" t="s">
        <v>17</v>
      </c>
      <c r="I334" t="s">
        <v>18</v>
      </c>
      <c r="J334" t="str">
        <f>"4389211983"</f>
        <v>4389211983</v>
      </c>
      <c r="K334" t="s">
        <v>1434</v>
      </c>
      <c r="L334" t="s">
        <v>350</v>
      </c>
      <c r="M334" t="s">
        <v>21</v>
      </c>
    </row>
    <row r="335" spans="1:13" x14ac:dyDescent="0.35">
      <c r="A335" t="str">
        <f>"211-2487"</f>
        <v>211-2487</v>
      </c>
      <c r="B335" t="s">
        <v>1435</v>
      </c>
      <c r="C335" t="str">
        <f>"6500"</f>
        <v>6500</v>
      </c>
      <c r="E335" t="s">
        <v>1436</v>
      </c>
      <c r="F335" t="s">
        <v>24</v>
      </c>
      <c r="G335" t="s">
        <v>1437</v>
      </c>
      <c r="H335" t="s">
        <v>17</v>
      </c>
      <c r="I335" t="s">
        <v>18</v>
      </c>
      <c r="J335" t="str">
        <f>"5145711503"</f>
        <v>5145711503</v>
      </c>
      <c r="K335" t="s">
        <v>1438</v>
      </c>
      <c r="L335" t="s">
        <v>396</v>
      </c>
      <c r="M335" t="s">
        <v>21</v>
      </c>
    </row>
    <row r="336" spans="1:13" x14ac:dyDescent="0.35">
      <c r="A336" t="str">
        <f>"211-3100"</f>
        <v>211-3100</v>
      </c>
      <c r="B336" t="s">
        <v>1439</v>
      </c>
      <c r="C336" t="str">
        <f>"6580"</f>
        <v>6580</v>
      </c>
      <c r="E336" t="s">
        <v>1440</v>
      </c>
      <c r="F336" t="s">
        <v>24</v>
      </c>
      <c r="G336" t="s">
        <v>1441</v>
      </c>
      <c r="H336" t="s">
        <v>17</v>
      </c>
      <c r="I336" t="s">
        <v>18</v>
      </c>
      <c r="J336" t="str">
        <f>"5145507402"</f>
        <v>5145507402</v>
      </c>
      <c r="K336" t="s">
        <v>1442</v>
      </c>
      <c r="L336" t="s">
        <v>396</v>
      </c>
      <c r="M336" t="s">
        <v>21</v>
      </c>
    </row>
    <row r="337" spans="1:13" x14ac:dyDescent="0.35">
      <c r="A337" t="str">
        <f>"211-3870"</f>
        <v>211-3870</v>
      </c>
      <c r="B337" t="s">
        <v>1443</v>
      </c>
      <c r="C337" t="str">
        <f>"5264"</f>
        <v>5264</v>
      </c>
      <c r="E337" t="s">
        <v>635</v>
      </c>
      <c r="F337" t="s">
        <v>24</v>
      </c>
      <c r="G337" t="s">
        <v>636</v>
      </c>
      <c r="H337" t="s">
        <v>17</v>
      </c>
      <c r="I337" t="s">
        <v>18</v>
      </c>
      <c r="J337" t="str">
        <f>"4384912245"</f>
        <v>4384912245</v>
      </c>
      <c r="K337" t="s">
        <v>1444</v>
      </c>
      <c r="L337" t="s">
        <v>305</v>
      </c>
      <c r="M337" t="s">
        <v>21</v>
      </c>
    </row>
    <row r="338" spans="1:13" x14ac:dyDescent="0.35">
      <c r="A338" t="str">
        <f>"211-4722"</f>
        <v>211-4722</v>
      </c>
      <c r="B338" t="s">
        <v>1445</v>
      </c>
      <c r="C338" t="str">
        <f>"7415"</f>
        <v>7415</v>
      </c>
      <c r="D338" t="str">
        <f>"507"</f>
        <v>507</v>
      </c>
      <c r="E338" t="s">
        <v>544</v>
      </c>
      <c r="F338" t="s">
        <v>24</v>
      </c>
      <c r="G338" t="s">
        <v>1446</v>
      </c>
      <c r="H338" t="s">
        <v>17</v>
      </c>
      <c r="I338" t="s">
        <v>18</v>
      </c>
      <c r="J338" t="str">
        <f>"5149280711"</f>
        <v>5149280711</v>
      </c>
      <c r="K338" t="s">
        <v>1447</v>
      </c>
      <c r="L338" t="s">
        <v>86</v>
      </c>
      <c r="M338" t="s">
        <v>21</v>
      </c>
    </row>
    <row r="339" spans="1:13" x14ac:dyDescent="0.35">
      <c r="A339" t="str">
        <f>"937-9615"</f>
        <v>937-9615</v>
      </c>
      <c r="B339" t="s">
        <v>1448</v>
      </c>
      <c r="C339" t="str">
        <f>"4236"</f>
        <v>4236</v>
      </c>
      <c r="E339" t="s">
        <v>1449</v>
      </c>
      <c r="F339" t="s">
        <v>24</v>
      </c>
      <c r="G339" t="s">
        <v>1450</v>
      </c>
      <c r="H339" t="s">
        <v>17</v>
      </c>
      <c r="I339" t="s">
        <v>18</v>
      </c>
      <c r="J339" t="str">
        <f>"5144581539"</f>
        <v>5144581539</v>
      </c>
      <c r="K339" t="s">
        <v>1451</v>
      </c>
      <c r="L339" t="s">
        <v>20</v>
      </c>
      <c r="M339" t="s">
        <v>21</v>
      </c>
    </row>
    <row r="340" spans="1:13" x14ac:dyDescent="0.35">
      <c r="A340" t="str">
        <f>"150-2093"</f>
        <v>150-2093</v>
      </c>
      <c r="B340" t="s">
        <v>1452</v>
      </c>
      <c r="C340" t="str">
        <f>"3510"</f>
        <v>3510</v>
      </c>
      <c r="D340" t="str">
        <f>"1"</f>
        <v>1</v>
      </c>
      <c r="E340" t="s">
        <v>1453</v>
      </c>
      <c r="F340" t="s">
        <v>24</v>
      </c>
      <c r="G340" t="s">
        <v>1454</v>
      </c>
      <c r="H340" t="s">
        <v>17</v>
      </c>
      <c r="I340" t="s">
        <v>18</v>
      </c>
      <c r="J340" t="str">
        <f>"4388364181"</f>
        <v>4388364181</v>
      </c>
      <c r="K340" t="s">
        <v>1455</v>
      </c>
      <c r="L340" t="s">
        <v>76</v>
      </c>
      <c r="M340" t="s">
        <v>21</v>
      </c>
    </row>
    <row r="341" spans="1:13" x14ac:dyDescent="0.35">
      <c r="A341" t="str">
        <f>"618-7742"</f>
        <v>618-7742</v>
      </c>
      <c r="B341" t="s">
        <v>1456</v>
      </c>
      <c r="C341" t="str">
        <f>"7301"</f>
        <v>7301</v>
      </c>
      <c r="D341" t="str">
        <f>"115"</f>
        <v>115</v>
      </c>
      <c r="E341" t="s">
        <v>1457</v>
      </c>
      <c r="F341" t="s">
        <v>24</v>
      </c>
      <c r="G341" t="s">
        <v>1458</v>
      </c>
      <c r="H341" t="s">
        <v>17</v>
      </c>
      <c r="I341" t="s">
        <v>18</v>
      </c>
      <c r="J341" t="str">
        <f>"4383083344"</f>
        <v>4383083344</v>
      </c>
      <c r="K341" t="s">
        <v>1459</v>
      </c>
      <c r="L341" t="s">
        <v>27</v>
      </c>
      <c r="M341" t="s">
        <v>21</v>
      </c>
    </row>
    <row r="342" spans="1:13" x14ac:dyDescent="0.35">
      <c r="A342" t="str">
        <f>"055-4177"</f>
        <v>055-4177</v>
      </c>
      <c r="B342" t="s">
        <v>1460</v>
      </c>
      <c r="C342" t="str">
        <f>"4900"</f>
        <v>4900</v>
      </c>
      <c r="D342" t="str">
        <f>"15A"</f>
        <v>15A</v>
      </c>
      <c r="E342" t="s">
        <v>1461</v>
      </c>
      <c r="F342" t="s">
        <v>24</v>
      </c>
      <c r="G342" t="s">
        <v>1462</v>
      </c>
      <c r="H342" t="s">
        <v>17</v>
      </c>
      <c r="I342" t="s">
        <v>18</v>
      </c>
      <c r="J342" t="str">
        <f>"8196205652"</f>
        <v>8196205652</v>
      </c>
      <c r="K342" t="s">
        <v>1463</v>
      </c>
      <c r="L342" t="s">
        <v>350</v>
      </c>
      <c r="M342" t="s">
        <v>21</v>
      </c>
    </row>
    <row r="343" spans="1:13" x14ac:dyDescent="0.35">
      <c r="A343" t="str">
        <f>"212-0546"</f>
        <v>212-0546</v>
      </c>
      <c r="B343" t="s">
        <v>1464</v>
      </c>
      <c r="C343" t="str">
        <f>"7342"</f>
        <v>7342</v>
      </c>
      <c r="E343" t="s">
        <v>727</v>
      </c>
      <c r="F343" t="s">
        <v>24</v>
      </c>
      <c r="G343" t="s">
        <v>1465</v>
      </c>
      <c r="H343" t="s">
        <v>17</v>
      </c>
      <c r="I343" t="s">
        <v>18</v>
      </c>
      <c r="J343" t="str">
        <f>"5142262028"</f>
        <v>5142262028</v>
      </c>
      <c r="K343" t="s">
        <v>1466</v>
      </c>
      <c r="L343" t="s">
        <v>220</v>
      </c>
      <c r="M343" t="s">
        <v>21</v>
      </c>
    </row>
    <row r="344" spans="1:13" x14ac:dyDescent="0.35">
      <c r="A344" t="str">
        <f>"187-2363"</f>
        <v>187-2363</v>
      </c>
      <c r="B344" t="s">
        <v>1467</v>
      </c>
      <c r="C344" t="str">
        <f>"10000"</f>
        <v>10000</v>
      </c>
      <c r="D344" t="str">
        <f>"4"</f>
        <v>4</v>
      </c>
      <c r="E344" t="s">
        <v>1468</v>
      </c>
      <c r="F344" t="s">
        <v>24</v>
      </c>
      <c r="G344" t="s">
        <v>1469</v>
      </c>
      <c r="H344" t="s">
        <v>17</v>
      </c>
      <c r="I344" t="s">
        <v>18</v>
      </c>
      <c r="J344" t="str">
        <f>"5148041030"</f>
        <v>5148041030</v>
      </c>
      <c r="K344" t="s">
        <v>1470</v>
      </c>
      <c r="L344" t="s">
        <v>137</v>
      </c>
      <c r="M344" t="s">
        <v>21</v>
      </c>
    </row>
    <row r="345" spans="1:13" x14ac:dyDescent="0.35">
      <c r="A345" t="str">
        <f>"210-3997"</f>
        <v>210-3997</v>
      </c>
      <c r="B345" t="s">
        <v>1471</v>
      </c>
      <c r="C345" t="str">
        <f>"8868"</f>
        <v>8868</v>
      </c>
      <c r="E345" t="s">
        <v>1235</v>
      </c>
      <c r="F345" t="s">
        <v>24</v>
      </c>
      <c r="G345" t="s">
        <v>1472</v>
      </c>
      <c r="H345" t="s">
        <v>17</v>
      </c>
      <c r="I345" t="s">
        <v>18</v>
      </c>
      <c r="J345" t="str">
        <f>"5146080783"</f>
        <v>5146080783</v>
      </c>
      <c r="K345" t="s">
        <v>1473</v>
      </c>
      <c r="L345" t="s">
        <v>438</v>
      </c>
      <c r="M345" t="s">
        <v>21</v>
      </c>
    </row>
    <row r="346" spans="1:13" x14ac:dyDescent="0.35">
      <c r="A346" t="str">
        <f>"209-0502"</f>
        <v>209-0502</v>
      </c>
      <c r="B346" t="s">
        <v>1474</v>
      </c>
      <c r="C346" t="str">
        <f>"3820"</f>
        <v>3820</v>
      </c>
      <c r="E346" t="s">
        <v>1475</v>
      </c>
      <c r="F346" t="s">
        <v>24</v>
      </c>
      <c r="G346" t="s">
        <v>1476</v>
      </c>
      <c r="H346" t="s">
        <v>17</v>
      </c>
      <c r="I346" t="s">
        <v>18</v>
      </c>
      <c r="J346" t="str">
        <f>"5147546042"</f>
        <v>5147546042</v>
      </c>
      <c r="K346" t="s">
        <v>1477</v>
      </c>
      <c r="L346" t="s">
        <v>86</v>
      </c>
      <c r="M346" t="s">
        <v>21</v>
      </c>
    </row>
    <row r="347" spans="1:13" x14ac:dyDescent="0.35">
      <c r="A347" t="str">
        <f>"139-2603"</f>
        <v>139-2603</v>
      </c>
      <c r="B347" t="s">
        <v>1478</v>
      </c>
      <c r="C347" t="str">
        <f>"5767"</f>
        <v>5767</v>
      </c>
      <c r="E347" t="s">
        <v>1479</v>
      </c>
      <c r="F347" t="s">
        <v>24</v>
      </c>
      <c r="G347" t="s">
        <v>1480</v>
      </c>
      <c r="H347" t="s">
        <v>17</v>
      </c>
      <c r="I347" t="s">
        <v>18</v>
      </c>
      <c r="J347" t="str">
        <f>"5146214383"</f>
        <v>5146214383</v>
      </c>
      <c r="K347" t="s">
        <v>1481</v>
      </c>
      <c r="L347" t="s">
        <v>76</v>
      </c>
      <c r="M347" t="s">
        <v>21</v>
      </c>
    </row>
    <row r="348" spans="1:13" x14ac:dyDescent="0.35">
      <c r="A348" t="str">
        <f>"164-1760"</f>
        <v>164-1760</v>
      </c>
      <c r="B348" t="s">
        <v>1482</v>
      </c>
      <c r="C348" t="str">
        <f>"69"</f>
        <v>69</v>
      </c>
      <c r="E348" t="s">
        <v>1483</v>
      </c>
      <c r="F348" t="s">
        <v>54</v>
      </c>
      <c r="G348" t="s">
        <v>1484</v>
      </c>
      <c r="H348" t="s">
        <v>17</v>
      </c>
      <c r="I348" t="s">
        <v>18</v>
      </c>
      <c r="J348" t="str">
        <f>"4384901227"</f>
        <v>4384901227</v>
      </c>
      <c r="K348" t="s">
        <v>1485</v>
      </c>
      <c r="L348" t="s">
        <v>76</v>
      </c>
      <c r="M348" t="s">
        <v>21</v>
      </c>
    </row>
    <row r="349" spans="1:13" x14ac:dyDescent="0.35">
      <c r="A349" t="str">
        <f>"205-9694"</f>
        <v>205-9694</v>
      </c>
      <c r="B349" t="s">
        <v>1486</v>
      </c>
      <c r="C349" t="str">
        <f>"5604"</f>
        <v>5604</v>
      </c>
      <c r="E349" t="s">
        <v>1487</v>
      </c>
      <c r="F349" t="s">
        <v>1488</v>
      </c>
      <c r="G349" t="s">
        <v>507</v>
      </c>
      <c r="H349" t="s">
        <v>17</v>
      </c>
      <c r="I349" t="s">
        <v>18</v>
      </c>
      <c r="J349" t="str">
        <f>"4383512019"</f>
        <v>4383512019</v>
      </c>
      <c r="K349" t="s">
        <v>1489</v>
      </c>
      <c r="L349" t="s">
        <v>76</v>
      </c>
      <c r="M349" t="s">
        <v>21</v>
      </c>
    </row>
    <row r="350" spans="1:13" x14ac:dyDescent="0.35">
      <c r="A350" t="str">
        <f>"208-3261"</f>
        <v>208-3261</v>
      </c>
      <c r="B350" t="s">
        <v>1490</v>
      </c>
      <c r="C350" t="str">
        <f>"5935"</f>
        <v>5935</v>
      </c>
      <c r="E350" t="s">
        <v>847</v>
      </c>
      <c r="F350" t="s">
        <v>24</v>
      </c>
      <c r="G350" t="s">
        <v>1491</v>
      </c>
      <c r="H350" t="s">
        <v>17</v>
      </c>
      <c r="I350" t="s">
        <v>18</v>
      </c>
      <c r="J350" t="str">
        <f>"5149786625"</f>
        <v>5149786625</v>
      </c>
      <c r="K350" t="s">
        <v>1492</v>
      </c>
      <c r="L350" t="s">
        <v>608</v>
      </c>
      <c r="M350" t="s">
        <v>21</v>
      </c>
    </row>
    <row r="351" spans="1:13" x14ac:dyDescent="0.35">
      <c r="A351" t="str">
        <f>"208-4906"</f>
        <v>208-4906</v>
      </c>
      <c r="B351" t="s">
        <v>1493</v>
      </c>
      <c r="C351" t="str">
        <f>"6850"</f>
        <v>6850</v>
      </c>
      <c r="D351" t="str">
        <f>"4"</f>
        <v>4</v>
      </c>
      <c r="E351" t="s">
        <v>1494</v>
      </c>
      <c r="F351" t="s">
        <v>24</v>
      </c>
      <c r="G351" t="s">
        <v>1495</v>
      </c>
      <c r="H351" t="s">
        <v>17</v>
      </c>
      <c r="I351" t="s">
        <v>18</v>
      </c>
      <c r="J351" t="str">
        <f>"5143472503"</f>
        <v>5143472503</v>
      </c>
      <c r="K351" t="s">
        <v>1496</v>
      </c>
      <c r="L351" t="s">
        <v>27</v>
      </c>
      <c r="M351" t="s">
        <v>21</v>
      </c>
    </row>
    <row r="352" spans="1:13" x14ac:dyDescent="0.35">
      <c r="A352" t="str">
        <f>"211-5064"</f>
        <v>211-5064</v>
      </c>
      <c r="B352" t="s">
        <v>1497</v>
      </c>
      <c r="C352" t="str">
        <f>"3650"</f>
        <v>3650</v>
      </c>
      <c r="D352" t="str">
        <f>"303"</f>
        <v>303</v>
      </c>
      <c r="E352" t="s">
        <v>1498</v>
      </c>
      <c r="F352" t="s">
        <v>40</v>
      </c>
      <c r="G352" t="s">
        <v>1499</v>
      </c>
      <c r="H352" t="s">
        <v>17</v>
      </c>
      <c r="I352" t="s">
        <v>18</v>
      </c>
      <c r="J352" t="str">
        <f>"4389344937"</f>
        <v>4389344937</v>
      </c>
      <c r="K352" t="s">
        <v>1500</v>
      </c>
      <c r="L352" t="s">
        <v>168</v>
      </c>
      <c r="M352" t="s">
        <v>21</v>
      </c>
    </row>
    <row r="353" spans="1:13" x14ac:dyDescent="0.35">
      <c r="A353" t="str">
        <f>"211-5880"</f>
        <v>211-5880</v>
      </c>
      <c r="B353" t="s">
        <v>1501</v>
      </c>
      <c r="C353" t="str">
        <f>"4731"</f>
        <v>4731</v>
      </c>
      <c r="E353" t="s">
        <v>439</v>
      </c>
      <c r="F353" t="s">
        <v>24</v>
      </c>
      <c r="G353" t="s">
        <v>1502</v>
      </c>
      <c r="H353" t="s">
        <v>17</v>
      </c>
      <c r="I353" t="s">
        <v>18</v>
      </c>
      <c r="J353" t="str">
        <f>"5142846572"</f>
        <v>5142846572</v>
      </c>
      <c r="K353" t="s">
        <v>1503</v>
      </c>
      <c r="L353" t="s">
        <v>869</v>
      </c>
      <c r="M353" t="s">
        <v>21</v>
      </c>
    </row>
    <row r="354" spans="1:13" x14ac:dyDescent="0.35">
      <c r="A354" t="str">
        <f>"211-9419"</f>
        <v>211-9419</v>
      </c>
      <c r="B354" t="s">
        <v>1504</v>
      </c>
      <c r="C354" t="str">
        <f>"610"</f>
        <v>610</v>
      </c>
      <c r="D354" t="str">
        <f>"16"</f>
        <v>16</v>
      </c>
      <c r="E354" t="s">
        <v>1505</v>
      </c>
      <c r="F354" t="s">
        <v>1506</v>
      </c>
      <c r="G354" t="s">
        <v>1507</v>
      </c>
      <c r="H354" t="s">
        <v>17</v>
      </c>
      <c r="I354" t="s">
        <v>18</v>
      </c>
      <c r="J354" t="str">
        <f>"3064911067"</f>
        <v>3064911067</v>
      </c>
      <c r="K354" t="s">
        <v>1508</v>
      </c>
      <c r="L354" t="s">
        <v>1509</v>
      </c>
      <c r="M354" t="s">
        <v>21</v>
      </c>
    </row>
    <row r="355" spans="1:13" x14ac:dyDescent="0.35">
      <c r="A355" t="str">
        <f>"214-1042"</f>
        <v>214-1042</v>
      </c>
      <c r="B355" t="s">
        <v>1510</v>
      </c>
      <c r="C355" t="str">
        <f>"49"</f>
        <v>49</v>
      </c>
      <c r="E355" t="s">
        <v>1511</v>
      </c>
      <c r="F355" t="s">
        <v>1512</v>
      </c>
      <c r="G355" t="s">
        <v>1513</v>
      </c>
      <c r="H355" t="s">
        <v>17</v>
      </c>
      <c r="I355" t="s">
        <v>18</v>
      </c>
      <c r="J355" t="str">
        <f>"5144734372"</f>
        <v>5144734372</v>
      </c>
      <c r="K355" t="s">
        <v>1514</v>
      </c>
      <c r="L355" t="s">
        <v>198</v>
      </c>
      <c r="M355" t="s">
        <v>21</v>
      </c>
    </row>
    <row r="356" spans="1:13" x14ac:dyDescent="0.35">
      <c r="A356" t="str">
        <f>"214-3072"</f>
        <v>214-3072</v>
      </c>
      <c r="B356" t="s">
        <v>1515</v>
      </c>
      <c r="C356" t="str">
        <f>"3469"</f>
        <v>3469</v>
      </c>
      <c r="D356" t="str">
        <f>"163"</f>
        <v>163</v>
      </c>
      <c r="E356" t="s">
        <v>455</v>
      </c>
      <c r="F356" t="s">
        <v>24</v>
      </c>
      <c r="G356" t="s">
        <v>1097</v>
      </c>
      <c r="H356" t="s">
        <v>17</v>
      </c>
      <c r="I356" t="s">
        <v>18</v>
      </c>
      <c r="J356" t="str">
        <f>"5143477233"</f>
        <v>5143477233</v>
      </c>
      <c r="K356" t="s">
        <v>1516</v>
      </c>
      <c r="L356" t="s">
        <v>193</v>
      </c>
      <c r="M356" t="s">
        <v>21</v>
      </c>
    </row>
    <row r="357" spans="1:13" x14ac:dyDescent="0.35">
      <c r="A357" t="str">
        <f>"073-9636"</f>
        <v>073-9636</v>
      </c>
      <c r="B357" t="s">
        <v>1517</v>
      </c>
      <c r="C357" t="str">
        <f>"9788"</f>
        <v>9788</v>
      </c>
      <c r="E357" t="s">
        <v>1518</v>
      </c>
      <c r="F357" t="s">
        <v>24</v>
      </c>
      <c r="G357" t="s">
        <v>1519</v>
      </c>
      <c r="H357" t="s">
        <v>17</v>
      </c>
      <c r="I357" t="s">
        <v>18</v>
      </c>
      <c r="J357" t="str">
        <f>"4384962349"</f>
        <v>4384962349</v>
      </c>
      <c r="K357" t="s">
        <v>1520</v>
      </c>
      <c r="L357" t="s">
        <v>39</v>
      </c>
      <c r="M357" t="s">
        <v>21</v>
      </c>
    </row>
    <row r="358" spans="1:13" x14ac:dyDescent="0.35">
      <c r="A358" t="str">
        <f>"157-1745"</f>
        <v>157-1745</v>
      </c>
      <c r="B358" t="s">
        <v>1521</v>
      </c>
      <c r="C358" t="str">
        <f>"49"</f>
        <v>49</v>
      </c>
      <c r="E358" t="s">
        <v>1522</v>
      </c>
      <c r="F358" t="s">
        <v>54</v>
      </c>
      <c r="G358" t="s">
        <v>1523</v>
      </c>
      <c r="H358" t="s">
        <v>17</v>
      </c>
      <c r="I358" t="s">
        <v>18</v>
      </c>
      <c r="J358" t="str">
        <f>"4384998851"</f>
        <v>4384998851</v>
      </c>
      <c r="K358" t="s">
        <v>1524</v>
      </c>
      <c r="L358" t="s">
        <v>20</v>
      </c>
      <c r="M358" t="s">
        <v>21</v>
      </c>
    </row>
    <row r="359" spans="1:13" x14ac:dyDescent="0.35">
      <c r="A359" t="str">
        <f>"164-4723"</f>
        <v>164-4723</v>
      </c>
      <c r="B359" t="s">
        <v>1525</v>
      </c>
      <c r="C359" t="str">
        <f>"100"</f>
        <v>100</v>
      </c>
      <c r="E359" t="s">
        <v>1526</v>
      </c>
      <c r="F359" t="s">
        <v>1527</v>
      </c>
      <c r="G359" t="s">
        <v>1528</v>
      </c>
      <c r="H359" t="s">
        <v>17</v>
      </c>
      <c r="I359" t="s">
        <v>18</v>
      </c>
      <c r="J359" t="str">
        <f>"4503657479"</f>
        <v>4503657479</v>
      </c>
      <c r="K359" t="s">
        <v>1529</v>
      </c>
      <c r="L359" t="s">
        <v>20</v>
      </c>
      <c r="M359" t="s">
        <v>21</v>
      </c>
    </row>
    <row r="360" spans="1:13" x14ac:dyDescent="0.35">
      <c r="A360" t="str">
        <f>"216-8359"</f>
        <v>216-8359</v>
      </c>
      <c r="B360" t="s">
        <v>1530</v>
      </c>
      <c r="C360" t="str">
        <f>"60"</f>
        <v>60</v>
      </c>
      <c r="E360" t="s">
        <v>1531</v>
      </c>
      <c r="F360" t="s">
        <v>1512</v>
      </c>
      <c r="G360" t="s">
        <v>1532</v>
      </c>
      <c r="H360" t="s">
        <v>17</v>
      </c>
      <c r="I360" t="s">
        <v>18</v>
      </c>
      <c r="J360" t="str">
        <f>"5142484696"</f>
        <v>5142484696</v>
      </c>
      <c r="K360" t="s">
        <v>1533</v>
      </c>
      <c r="L360" t="s">
        <v>350</v>
      </c>
      <c r="M360" t="s">
        <v>21</v>
      </c>
    </row>
    <row r="361" spans="1:13" x14ac:dyDescent="0.35">
      <c r="A361" t="str">
        <f>"218-7256"</f>
        <v>218-7256</v>
      </c>
      <c r="B361" t="s">
        <v>1534</v>
      </c>
      <c r="C361" t="str">
        <f>"824"</f>
        <v>824</v>
      </c>
      <c r="E361" t="s">
        <v>1535</v>
      </c>
      <c r="F361" t="s">
        <v>24</v>
      </c>
      <c r="G361" t="s">
        <v>1536</v>
      </c>
      <c r="H361" t="s">
        <v>17</v>
      </c>
      <c r="I361" t="s">
        <v>18</v>
      </c>
      <c r="J361" t="str">
        <f>"2639996680"</f>
        <v>2639996680</v>
      </c>
      <c r="K361" t="s">
        <v>1537</v>
      </c>
      <c r="L361" t="s">
        <v>137</v>
      </c>
      <c r="M361" t="s">
        <v>21</v>
      </c>
    </row>
    <row r="362" spans="1:13" x14ac:dyDescent="0.35">
      <c r="A362" t="str">
        <f>"214-7992"</f>
        <v>214-7992</v>
      </c>
      <c r="B362" t="s">
        <v>1538</v>
      </c>
      <c r="C362" t="str">
        <f>"5067"</f>
        <v>5067</v>
      </c>
      <c r="E362" t="s">
        <v>306</v>
      </c>
      <c r="F362" t="s">
        <v>24</v>
      </c>
      <c r="G362" t="s">
        <v>1539</v>
      </c>
      <c r="H362" t="s">
        <v>17</v>
      </c>
      <c r="I362" t="s">
        <v>18</v>
      </c>
      <c r="J362" t="str">
        <f>"5147132928"</f>
        <v>5147132928</v>
      </c>
      <c r="K362" t="s">
        <v>1540</v>
      </c>
      <c r="L362" t="s">
        <v>396</v>
      </c>
      <c r="M362" t="s">
        <v>21</v>
      </c>
    </row>
    <row r="363" spans="1:13" x14ac:dyDescent="0.35">
      <c r="A363" t="str">
        <f>"215-0496"</f>
        <v>215-0496</v>
      </c>
      <c r="B363" t="s">
        <v>1541</v>
      </c>
      <c r="C363" t="str">
        <f>"7235"</f>
        <v>7235</v>
      </c>
      <c r="E363" t="s">
        <v>169</v>
      </c>
      <c r="F363" t="s">
        <v>24</v>
      </c>
      <c r="G363" t="s">
        <v>1542</v>
      </c>
      <c r="H363" t="s">
        <v>17</v>
      </c>
      <c r="I363" t="s">
        <v>18</v>
      </c>
      <c r="J363" t="str">
        <f>"5149538284"</f>
        <v>5149538284</v>
      </c>
      <c r="K363" t="s">
        <v>1543</v>
      </c>
      <c r="L363" t="s">
        <v>396</v>
      </c>
      <c r="M363" t="s">
        <v>21</v>
      </c>
    </row>
    <row r="364" spans="1:13" x14ac:dyDescent="0.35">
      <c r="A364" t="str">
        <f>"215-2575"</f>
        <v>215-2575</v>
      </c>
      <c r="B364" t="s">
        <v>1544</v>
      </c>
      <c r="C364" t="str">
        <f>"6450"</f>
        <v>6450</v>
      </c>
      <c r="D364" t="str">
        <f>"06"</f>
        <v>06</v>
      </c>
      <c r="E364" t="s">
        <v>1545</v>
      </c>
      <c r="F364" t="s">
        <v>24</v>
      </c>
      <c r="G364" t="s">
        <v>1546</v>
      </c>
      <c r="H364" t="s">
        <v>17</v>
      </c>
      <c r="I364" t="s">
        <v>18</v>
      </c>
      <c r="J364" t="str">
        <f>"4383966653"</f>
        <v>4383966653</v>
      </c>
      <c r="K364" t="s">
        <v>1547</v>
      </c>
      <c r="L364" t="s">
        <v>168</v>
      </c>
      <c r="M364" t="s">
        <v>21</v>
      </c>
    </row>
    <row r="365" spans="1:13" x14ac:dyDescent="0.35">
      <c r="A365" t="str">
        <f>"183-5871"</f>
        <v>183-5871</v>
      </c>
      <c r="B365" t="s">
        <v>1548</v>
      </c>
      <c r="C365" t="str">
        <f>"2605"</f>
        <v>2605</v>
      </c>
      <c r="D365" t="str">
        <f>"6"</f>
        <v>6</v>
      </c>
      <c r="E365" t="s">
        <v>1549</v>
      </c>
      <c r="F365" t="s">
        <v>24</v>
      </c>
      <c r="G365" t="s">
        <v>1550</v>
      </c>
      <c r="H365" t="s">
        <v>17</v>
      </c>
      <c r="I365" t="s">
        <v>18</v>
      </c>
      <c r="J365" t="str">
        <f>"5142451557"</f>
        <v>5142451557</v>
      </c>
      <c r="K365" t="s">
        <v>1551</v>
      </c>
      <c r="L365" t="s">
        <v>319</v>
      </c>
      <c r="M365" t="s">
        <v>21</v>
      </c>
    </row>
    <row r="366" spans="1:13" x14ac:dyDescent="0.35">
      <c r="A366" t="str">
        <f>"203-9011"</f>
        <v>203-9011</v>
      </c>
      <c r="B366" t="s">
        <v>1552</v>
      </c>
      <c r="C366" t="str">
        <f>"2180"</f>
        <v>2180</v>
      </c>
      <c r="E366" t="s">
        <v>1553</v>
      </c>
      <c r="F366" t="s">
        <v>1554</v>
      </c>
      <c r="G366" t="s">
        <v>1555</v>
      </c>
      <c r="H366" t="s">
        <v>17</v>
      </c>
      <c r="I366" t="s">
        <v>18</v>
      </c>
      <c r="J366" t="str">
        <f>"4385252491"</f>
        <v>4385252491</v>
      </c>
      <c r="K366" t="s">
        <v>1556</v>
      </c>
      <c r="L366" t="s">
        <v>39</v>
      </c>
      <c r="M366" t="s">
        <v>21</v>
      </c>
    </row>
    <row r="367" spans="1:13" x14ac:dyDescent="0.35">
      <c r="A367" t="str">
        <f>"213-0899"</f>
        <v>213-0899</v>
      </c>
      <c r="B367" t="s">
        <v>1558</v>
      </c>
      <c r="C367" t="str">
        <f>"2055"</f>
        <v>2055</v>
      </c>
      <c r="E367" t="s">
        <v>1559</v>
      </c>
      <c r="F367" t="s">
        <v>24</v>
      </c>
      <c r="G367" t="s">
        <v>1560</v>
      </c>
      <c r="H367" t="s">
        <v>17</v>
      </c>
      <c r="I367" t="s">
        <v>18</v>
      </c>
      <c r="J367" t="str">
        <f>"5145503346"</f>
        <v>5145503346</v>
      </c>
      <c r="K367" t="s">
        <v>1561</v>
      </c>
      <c r="L367" t="s">
        <v>20</v>
      </c>
      <c r="M367" t="s">
        <v>21</v>
      </c>
    </row>
    <row r="368" spans="1:13" x14ac:dyDescent="0.35">
      <c r="A368" t="str">
        <f>"214-6726"</f>
        <v>214-6726</v>
      </c>
      <c r="B368" t="s">
        <v>1562</v>
      </c>
      <c r="C368" t="str">
        <f>"7272"</f>
        <v>7272</v>
      </c>
      <c r="D368" t="str">
        <f>"B"</f>
        <v>B</v>
      </c>
      <c r="E368" t="s">
        <v>1563</v>
      </c>
      <c r="F368" t="s">
        <v>24</v>
      </c>
      <c r="G368" t="s">
        <v>1564</v>
      </c>
      <c r="H368" t="s">
        <v>17</v>
      </c>
      <c r="I368" t="s">
        <v>18</v>
      </c>
      <c r="J368" t="str">
        <f>"5145724265"</f>
        <v>5145724265</v>
      </c>
      <c r="K368" t="s">
        <v>1565</v>
      </c>
      <c r="L368" t="s">
        <v>313</v>
      </c>
      <c r="M368" t="s">
        <v>21</v>
      </c>
    </row>
    <row r="369" spans="1:13" x14ac:dyDescent="0.35">
      <c r="A369" t="str">
        <f>"214-7099"</f>
        <v>214-7099</v>
      </c>
      <c r="B369" t="s">
        <v>1566</v>
      </c>
      <c r="C369" t="str">
        <f>"1686"</f>
        <v>1686</v>
      </c>
      <c r="E369" t="s">
        <v>1235</v>
      </c>
      <c r="F369" t="s">
        <v>24</v>
      </c>
      <c r="G369" t="s">
        <v>1567</v>
      </c>
      <c r="H369" t="s">
        <v>17</v>
      </c>
      <c r="I369" t="s">
        <v>18</v>
      </c>
      <c r="J369" t="str">
        <f>"4388337459"</f>
        <v>4388337459</v>
      </c>
      <c r="K369" t="s">
        <v>1568</v>
      </c>
      <c r="L369" t="s">
        <v>193</v>
      </c>
      <c r="M369" t="s">
        <v>21</v>
      </c>
    </row>
    <row r="370" spans="1:13" x14ac:dyDescent="0.35">
      <c r="A370" t="str">
        <f>"215-5581"</f>
        <v>215-5581</v>
      </c>
      <c r="B370" t="s">
        <v>1571</v>
      </c>
      <c r="C370" t="str">
        <f>"11737"</f>
        <v>11737</v>
      </c>
      <c r="E370" t="s">
        <v>1572</v>
      </c>
      <c r="F370" t="s">
        <v>24</v>
      </c>
      <c r="G370" t="s">
        <v>1573</v>
      </c>
      <c r="H370" t="s">
        <v>17</v>
      </c>
      <c r="I370" t="s">
        <v>18</v>
      </c>
      <c r="J370" t="str">
        <f>"4389854591"</f>
        <v>4389854591</v>
      </c>
      <c r="K370" t="s">
        <v>1574</v>
      </c>
      <c r="L370" t="s">
        <v>27</v>
      </c>
      <c r="M370" t="s">
        <v>21</v>
      </c>
    </row>
    <row r="371" spans="1:13" x14ac:dyDescent="0.35">
      <c r="A371" t="str">
        <f>"217-3392"</f>
        <v>217-3392</v>
      </c>
      <c r="B371" t="s">
        <v>1575</v>
      </c>
      <c r="C371" t="str">
        <f>"10524"</f>
        <v>10524</v>
      </c>
      <c r="E371" t="s">
        <v>691</v>
      </c>
      <c r="F371" t="s">
        <v>24</v>
      </c>
      <c r="G371" t="s">
        <v>1576</v>
      </c>
      <c r="H371" t="s">
        <v>17</v>
      </c>
      <c r="I371" t="s">
        <v>18</v>
      </c>
      <c r="J371" t="str">
        <f>"5149122683"</f>
        <v>5149122683</v>
      </c>
      <c r="K371" t="s">
        <v>1577</v>
      </c>
      <c r="L371" t="s">
        <v>137</v>
      </c>
      <c r="M371" t="s">
        <v>21</v>
      </c>
    </row>
    <row r="372" spans="1:13" x14ac:dyDescent="0.35">
      <c r="A372" t="str">
        <f>"217-3694"</f>
        <v>217-3694</v>
      </c>
      <c r="B372" t="s">
        <v>1578</v>
      </c>
      <c r="C372" t="str">
        <f>"2561"</f>
        <v>2561</v>
      </c>
      <c r="E372" t="s">
        <v>1579</v>
      </c>
      <c r="F372" t="s">
        <v>24</v>
      </c>
      <c r="G372" t="s">
        <v>1580</v>
      </c>
      <c r="H372" t="s">
        <v>17</v>
      </c>
      <c r="I372" t="s">
        <v>18</v>
      </c>
      <c r="J372" t="str">
        <f>"5146602263"</f>
        <v>5146602263</v>
      </c>
      <c r="K372" t="s">
        <v>1581</v>
      </c>
      <c r="L372" t="s">
        <v>61</v>
      </c>
      <c r="M372" t="s">
        <v>21</v>
      </c>
    </row>
    <row r="373" spans="1:13" x14ac:dyDescent="0.35">
      <c r="A373" t="str">
        <f>"036-4164"</f>
        <v>036-4164</v>
      </c>
      <c r="B373" t="s">
        <v>1582</v>
      </c>
      <c r="C373" t="str">
        <f>"71"</f>
        <v>71</v>
      </c>
      <c r="E373" t="s">
        <v>1583</v>
      </c>
      <c r="F373" t="s">
        <v>32</v>
      </c>
      <c r="G373" t="s">
        <v>1584</v>
      </c>
      <c r="H373" t="s">
        <v>17</v>
      </c>
      <c r="I373" t="s">
        <v>18</v>
      </c>
      <c r="J373" t="str">
        <f>"5148335662"</f>
        <v>5148335662</v>
      </c>
      <c r="K373" t="s">
        <v>1585</v>
      </c>
      <c r="L373" t="s">
        <v>20</v>
      </c>
      <c r="M373" t="s">
        <v>21</v>
      </c>
    </row>
    <row r="374" spans="1:13" x14ac:dyDescent="0.35">
      <c r="A374" t="str">
        <f>"202-6766"</f>
        <v>202-6766</v>
      </c>
      <c r="B374" t="s">
        <v>1586</v>
      </c>
      <c r="C374" t="str">
        <f>"11541"</f>
        <v>11541</v>
      </c>
      <c r="E374" t="s">
        <v>117</v>
      </c>
      <c r="F374" t="s">
        <v>24</v>
      </c>
      <c r="G374" t="s">
        <v>1587</v>
      </c>
      <c r="H374" t="s">
        <v>17</v>
      </c>
      <c r="I374" t="s">
        <v>18</v>
      </c>
      <c r="J374" t="str">
        <f>"4386303042"</f>
        <v>4386303042</v>
      </c>
      <c r="K374" t="s">
        <v>1588</v>
      </c>
      <c r="L374" t="s">
        <v>39</v>
      </c>
      <c r="M374" t="s">
        <v>21</v>
      </c>
    </row>
    <row r="375" spans="1:13" x14ac:dyDescent="0.35">
      <c r="A375" t="str">
        <f>"216-4154"</f>
        <v>216-4154</v>
      </c>
      <c r="B375" t="s">
        <v>1589</v>
      </c>
      <c r="C375" t="str">
        <f>"498"</f>
        <v>498</v>
      </c>
      <c r="E375" t="s">
        <v>1590</v>
      </c>
      <c r="F375" t="s">
        <v>1554</v>
      </c>
      <c r="G375" t="s">
        <v>1591</v>
      </c>
      <c r="H375" t="s">
        <v>17</v>
      </c>
      <c r="I375" t="s">
        <v>18</v>
      </c>
      <c r="J375" t="str">
        <f>"5143465817"</f>
        <v>5143465817</v>
      </c>
      <c r="K375" t="s">
        <v>1592</v>
      </c>
      <c r="L375" t="s">
        <v>29</v>
      </c>
      <c r="M375" t="s">
        <v>21</v>
      </c>
    </row>
    <row r="376" spans="1:13" x14ac:dyDescent="0.35">
      <c r="A376" t="str">
        <f>"217-2647"</f>
        <v>217-2647</v>
      </c>
      <c r="B376" t="s">
        <v>1594</v>
      </c>
      <c r="C376" t="str">
        <f>"12631"</f>
        <v>12631</v>
      </c>
      <c r="E376" t="s">
        <v>1595</v>
      </c>
      <c r="F376" t="s">
        <v>24</v>
      </c>
      <c r="G376" t="s">
        <v>1596</v>
      </c>
      <c r="H376" t="s">
        <v>17</v>
      </c>
      <c r="I376" t="s">
        <v>18</v>
      </c>
      <c r="J376" t="str">
        <f>"5144630927"</f>
        <v>5144630927</v>
      </c>
      <c r="K376" t="s">
        <v>1597</v>
      </c>
      <c r="L376" t="s">
        <v>608</v>
      </c>
      <c r="M376" t="s">
        <v>21</v>
      </c>
    </row>
    <row r="377" spans="1:13" x14ac:dyDescent="0.35">
      <c r="A377" t="str">
        <f>"197-5957"</f>
        <v>197-5957</v>
      </c>
      <c r="B377" t="s">
        <v>1598</v>
      </c>
      <c r="C377" t="str">
        <f>"1424"</f>
        <v>1424</v>
      </c>
      <c r="D377" t="str">
        <f>"1"</f>
        <v>1</v>
      </c>
      <c r="E377" t="s">
        <v>1599</v>
      </c>
      <c r="F377" t="s">
        <v>24</v>
      </c>
      <c r="G377" t="s">
        <v>1600</v>
      </c>
      <c r="H377" t="s">
        <v>17</v>
      </c>
      <c r="I377" t="s">
        <v>18</v>
      </c>
      <c r="J377" t="str">
        <f>"8192384815"</f>
        <v>8192384815</v>
      </c>
      <c r="K377" t="s">
        <v>1601</v>
      </c>
      <c r="L377" t="s">
        <v>874</v>
      </c>
      <c r="M377" t="s">
        <v>21</v>
      </c>
    </row>
    <row r="378" spans="1:13" x14ac:dyDescent="0.35">
      <c r="A378" t="str">
        <f>"201-7489"</f>
        <v>201-7489</v>
      </c>
      <c r="B378" t="s">
        <v>1602</v>
      </c>
      <c r="C378" t="str">
        <f>"3660"</f>
        <v>3660</v>
      </c>
      <c r="E378" t="s">
        <v>974</v>
      </c>
      <c r="F378" t="s">
        <v>256</v>
      </c>
      <c r="G378" t="s">
        <v>1603</v>
      </c>
      <c r="H378" t="s">
        <v>17</v>
      </c>
      <c r="I378" t="s">
        <v>18</v>
      </c>
      <c r="J378" t="str">
        <f>"5148852838"</f>
        <v>5148852838</v>
      </c>
      <c r="K378" t="s">
        <v>1604</v>
      </c>
      <c r="L378" t="s">
        <v>29</v>
      </c>
      <c r="M378" t="s">
        <v>21</v>
      </c>
    </row>
    <row r="379" spans="1:13" x14ac:dyDescent="0.35">
      <c r="A379" t="str">
        <f>"215-4584"</f>
        <v>215-4584</v>
      </c>
      <c r="B379" t="s">
        <v>1605</v>
      </c>
      <c r="C379" t="str">
        <f>"7589"</f>
        <v>7589</v>
      </c>
      <c r="E379" t="s">
        <v>1606</v>
      </c>
      <c r="F379" t="s">
        <v>24</v>
      </c>
      <c r="G379" t="s">
        <v>1607</v>
      </c>
      <c r="H379" t="s">
        <v>17</v>
      </c>
      <c r="I379" t="s">
        <v>18</v>
      </c>
      <c r="J379" t="str">
        <f>"4385017244"</f>
        <v>4385017244</v>
      </c>
      <c r="K379" t="s">
        <v>1608</v>
      </c>
      <c r="L379" t="s">
        <v>137</v>
      </c>
      <c r="M379" t="s">
        <v>21</v>
      </c>
    </row>
    <row r="380" spans="1:13" x14ac:dyDescent="0.35">
      <c r="A380" t="str">
        <f>"215-4924"</f>
        <v>215-4924</v>
      </c>
      <c r="B380" t="s">
        <v>1609</v>
      </c>
      <c r="C380" t="str">
        <f>"3387"</f>
        <v>3387</v>
      </c>
      <c r="D380" t="str">
        <f>"1"</f>
        <v>1</v>
      </c>
      <c r="E380" t="s">
        <v>1610</v>
      </c>
      <c r="F380" t="s">
        <v>24</v>
      </c>
      <c r="G380" t="s">
        <v>1611</v>
      </c>
      <c r="H380" t="s">
        <v>17</v>
      </c>
      <c r="I380" t="s">
        <v>18</v>
      </c>
      <c r="J380" t="str">
        <f>"5148524409"</f>
        <v>5148524409</v>
      </c>
      <c r="K380" t="s">
        <v>1612</v>
      </c>
      <c r="L380" t="s">
        <v>168</v>
      </c>
      <c r="M380" t="s">
        <v>21</v>
      </c>
    </row>
    <row r="381" spans="1:13" x14ac:dyDescent="0.35">
      <c r="A381" t="str">
        <f>"073-5411"</f>
        <v>073-5411</v>
      </c>
      <c r="B381" t="s">
        <v>1613</v>
      </c>
      <c r="C381" t="str">
        <f>"1268"</f>
        <v>1268</v>
      </c>
      <c r="E381" t="s">
        <v>1614</v>
      </c>
      <c r="F381" t="s">
        <v>24</v>
      </c>
      <c r="G381" t="s">
        <v>1615</v>
      </c>
      <c r="H381" t="s">
        <v>17</v>
      </c>
      <c r="I381" t="s">
        <v>18</v>
      </c>
      <c r="J381" t="str">
        <f>"5142242953"</f>
        <v>5142242953</v>
      </c>
      <c r="K381" t="s">
        <v>1616</v>
      </c>
      <c r="L381" t="s">
        <v>29</v>
      </c>
      <c r="M381" t="s">
        <v>21</v>
      </c>
    </row>
    <row r="382" spans="1:13" x14ac:dyDescent="0.35">
      <c r="A382" t="str">
        <f>"107-8043"</f>
        <v>107-8043</v>
      </c>
      <c r="B382" t="s">
        <v>1617</v>
      </c>
      <c r="C382" t="str">
        <f>"3430"</f>
        <v>3430</v>
      </c>
      <c r="D382" t="str">
        <f>"5"</f>
        <v>5</v>
      </c>
      <c r="E382" t="s">
        <v>1030</v>
      </c>
      <c r="F382" t="s">
        <v>24</v>
      </c>
      <c r="G382" t="s">
        <v>1618</v>
      </c>
      <c r="H382" t="s">
        <v>17</v>
      </c>
      <c r="I382" t="s">
        <v>18</v>
      </c>
      <c r="J382" t="str">
        <f>"5146054280"</f>
        <v>5146054280</v>
      </c>
      <c r="K382" t="s">
        <v>1619</v>
      </c>
      <c r="L382" t="s">
        <v>20</v>
      </c>
      <c r="M382" t="s">
        <v>21</v>
      </c>
    </row>
    <row r="383" spans="1:13" x14ac:dyDescent="0.35">
      <c r="A383" t="str">
        <f>"214-3770"</f>
        <v>214-3770</v>
      </c>
      <c r="B383" t="s">
        <v>1620</v>
      </c>
      <c r="C383" t="str">
        <f>"3145"</f>
        <v>3145</v>
      </c>
      <c r="D383" t="str">
        <f>"2"</f>
        <v>2</v>
      </c>
      <c r="E383" t="s">
        <v>376</v>
      </c>
      <c r="F383" t="s">
        <v>24</v>
      </c>
      <c r="G383" t="s">
        <v>1621</v>
      </c>
      <c r="H383" t="s">
        <v>17</v>
      </c>
      <c r="I383" t="s">
        <v>18</v>
      </c>
      <c r="J383" t="str">
        <f>"8197918285"</f>
        <v>8197918285</v>
      </c>
      <c r="K383" t="s">
        <v>1622</v>
      </c>
      <c r="L383" t="s">
        <v>27</v>
      </c>
      <c r="M383" t="s">
        <v>21</v>
      </c>
    </row>
    <row r="384" spans="1:13" x14ac:dyDescent="0.35">
      <c r="A384" t="str">
        <f>"214-4391"</f>
        <v>214-4391</v>
      </c>
      <c r="B384" t="s">
        <v>1623</v>
      </c>
      <c r="C384" t="str">
        <f>"7115"</f>
        <v>7115</v>
      </c>
      <c r="D384" t="str">
        <f>"6"</f>
        <v>6</v>
      </c>
      <c r="E384" t="s">
        <v>1179</v>
      </c>
      <c r="F384" t="s">
        <v>24</v>
      </c>
      <c r="G384" t="s">
        <v>1624</v>
      </c>
      <c r="H384" t="s">
        <v>17</v>
      </c>
      <c r="I384" t="s">
        <v>18</v>
      </c>
      <c r="J384" t="str">
        <f>"5144765173"</f>
        <v>5144765173</v>
      </c>
      <c r="K384" t="s">
        <v>1625</v>
      </c>
      <c r="L384" t="s">
        <v>203</v>
      </c>
      <c r="M384" t="s">
        <v>21</v>
      </c>
    </row>
    <row r="385" spans="1:13" x14ac:dyDescent="0.35">
      <c r="A385" t="str">
        <f>"214-4585"</f>
        <v>214-4585</v>
      </c>
      <c r="B385" t="s">
        <v>1626</v>
      </c>
      <c r="C385" t="str">
        <f>"1275"</f>
        <v>1275</v>
      </c>
      <c r="E385" t="s">
        <v>1627</v>
      </c>
      <c r="F385" t="s">
        <v>143</v>
      </c>
      <c r="G385" t="s">
        <v>1628</v>
      </c>
      <c r="H385" t="s">
        <v>17</v>
      </c>
      <c r="I385" t="s">
        <v>18</v>
      </c>
      <c r="J385" t="str">
        <f>"4504923095"</f>
        <v>4504923095</v>
      </c>
      <c r="K385" t="s">
        <v>1629</v>
      </c>
      <c r="L385" t="s">
        <v>220</v>
      </c>
      <c r="M385" t="s">
        <v>21</v>
      </c>
    </row>
    <row r="386" spans="1:13" x14ac:dyDescent="0.35">
      <c r="A386" t="str">
        <f>"214-4688"</f>
        <v>214-4688</v>
      </c>
      <c r="B386" t="s">
        <v>1630</v>
      </c>
      <c r="C386" t="str">
        <f>"7051"</f>
        <v>7051</v>
      </c>
      <c r="D386" t="str">
        <f>"606"</f>
        <v>606</v>
      </c>
      <c r="E386" t="s">
        <v>1631</v>
      </c>
      <c r="F386" t="s">
        <v>24</v>
      </c>
      <c r="G386" t="s">
        <v>1632</v>
      </c>
      <c r="H386" t="s">
        <v>17</v>
      </c>
      <c r="I386" t="s">
        <v>18</v>
      </c>
      <c r="J386" t="str">
        <f>"5149526036"</f>
        <v>5149526036</v>
      </c>
      <c r="K386" t="s">
        <v>1633</v>
      </c>
      <c r="L386" t="s">
        <v>39</v>
      </c>
      <c r="M386" t="s">
        <v>21</v>
      </c>
    </row>
    <row r="387" spans="1:13" x14ac:dyDescent="0.35">
      <c r="A387" t="str">
        <f>"214-5056"</f>
        <v>214-5056</v>
      </c>
      <c r="B387" t="s">
        <v>1634</v>
      </c>
      <c r="C387" t="str">
        <f>"7092"</f>
        <v>7092</v>
      </c>
      <c r="E387" t="s">
        <v>1635</v>
      </c>
      <c r="F387" t="s">
        <v>24</v>
      </c>
      <c r="G387" t="s">
        <v>1636</v>
      </c>
      <c r="H387" t="s">
        <v>17</v>
      </c>
      <c r="I387" t="s">
        <v>18</v>
      </c>
      <c r="J387" t="str">
        <f>"4382208668"</f>
        <v>4382208668</v>
      </c>
      <c r="K387" t="s">
        <v>1637</v>
      </c>
      <c r="L387" t="s">
        <v>869</v>
      </c>
      <c r="M387" t="s">
        <v>21</v>
      </c>
    </row>
    <row r="388" spans="1:13" x14ac:dyDescent="0.35">
      <c r="A388" t="str">
        <f>"216-3310"</f>
        <v>216-3310</v>
      </c>
      <c r="B388" t="s">
        <v>1638</v>
      </c>
      <c r="C388" t="str">
        <f>"4890"</f>
        <v>4890</v>
      </c>
      <c r="D388" t="str">
        <f>"B214"</f>
        <v>B214</v>
      </c>
      <c r="E388" t="s">
        <v>306</v>
      </c>
      <c r="F388" t="s">
        <v>24</v>
      </c>
      <c r="G388" t="s">
        <v>307</v>
      </c>
      <c r="H388" t="s">
        <v>17</v>
      </c>
      <c r="I388" t="s">
        <v>18</v>
      </c>
      <c r="J388" t="str">
        <f>"5142653565"</f>
        <v>5142653565</v>
      </c>
      <c r="K388" t="s">
        <v>1639</v>
      </c>
      <c r="L388" t="s">
        <v>869</v>
      </c>
      <c r="M388" t="s">
        <v>21</v>
      </c>
    </row>
    <row r="389" spans="1:13" x14ac:dyDescent="0.35">
      <c r="A389" t="str">
        <f>"216-3773"</f>
        <v>216-3773</v>
      </c>
      <c r="B389" t="s">
        <v>1640</v>
      </c>
      <c r="C389" t="str">
        <f>"5653"</f>
        <v>5653</v>
      </c>
      <c r="E389" t="s">
        <v>1641</v>
      </c>
      <c r="F389" t="s">
        <v>24</v>
      </c>
      <c r="G389" t="s">
        <v>841</v>
      </c>
      <c r="H389" t="s">
        <v>17</v>
      </c>
      <c r="I389" t="s">
        <v>18</v>
      </c>
      <c r="J389" t="str">
        <f>"4385063823"</f>
        <v>4385063823</v>
      </c>
      <c r="K389" t="s">
        <v>1642</v>
      </c>
      <c r="L389" t="s">
        <v>168</v>
      </c>
      <c r="M389" t="s">
        <v>21</v>
      </c>
    </row>
    <row r="390" spans="1:13" x14ac:dyDescent="0.35">
      <c r="A390" t="str">
        <f>"216-3912"</f>
        <v>216-3912</v>
      </c>
      <c r="B390" t="s">
        <v>1643</v>
      </c>
      <c r="C390" t="str">
        <f>"3230"</f>
        <v>3230</v>
      </c>
      <c r="E390" t="s">
        <v>1644</v>
      </c>
      <c r="F390" t="s">
        <v>24</v>
      </c>
      <c r="G390" t="s">
        <v>1645</v>
      </c>
      <c r="H390" t="s">
        <v>17</v>
      </c>
      <c r="I390" t="s">
        <v>18</v>
      </c>
      <c r="J390" t="str">
        <f>"4384091888"</f>
        <v>4384091888</v>
      </c>
      <c r="K390" t="s">
        <v>1646</v>
      </c>
      <c r="L390" t="s">
        <v>220</v>
      </c>
      <c r="M390" t="s">
        <v>21</v>
      </c>
    </row>
    <row r="391" spans="1:13" x14ac:dyDescent="0.35">
      <c r="A391" t="str">
        <f>"218-5973"</f>
        <v>218-5973</v>
      </c>
      <c r="B391" t="s">
        <v>1647</v>
      </c>
      <c r="C391" t="str">
        <f>"3433"</f>
        <v>3433</v>
      </c>
      <c r="E391" t="s">
        <v>1610</v>
      </c>
      <c r="F391" t="s">
        <v>24</v>
      </c>
      <c r="G391" t="s">
        <v>1611</v>
      </c>
      <c r="H391" t="s">
        <v>17</v>
      </c>
      <c r="I391" t="s">
        <v>18</v>
      </c>
      <c r="J391" t="str">
        <f>"5145899876"</f>
        <v>5145899876</v>
      </c>
      <c r="K391" t="s">
        <v>1648</v>
      </c>
      <c r="L391" t="s">
        <v>39</v>
      </c>
      <c r="M391" t="s">
        <v>21</v>
      </c>
    </row>
    <row r="392" spans="1:13" x14ac:dyDescent="0.35">
      <c r="A392" t="str">
        <f>"053-3244"</f>
        <v>053-3244</v>
      </c>
      <c r="B392" t="s">
        <v>1649</v>
      </c>
      <c r="C392" t="str">
        <f>"5436"</f>
        <v>5436</v>
      </c>
      <c r="E392" t="s">
        <v>1650</v>
      </c>
      <c r="F392" t="s">
        <v>24</v>
      </c>
      <c r="G392" t="s">
        <v>1651</v>
      </c>
      <c r="H392" t="s">
        <v>17</v>
      </c>
      <c r="I392" t="s">
        <v>18</v>
      </c>
      <c r="J392" t="str">
        <f>"5148233243"</f>
        <v>5148233243</v>
      </c>
      <c r="K392" t="s">
        <v>1652</v>
      </c>
      <c r="L392" t="s">
        <v>27</v>
      </c>
      <c r="M392" t="s">
        <v>21</v>
      </c>
    </row>
    <row r="393" spans="1:13" x14ac:dyDescent="0.35">
      <c r="A393" t="str">
        <f>"068-3536"</f>
        <v>068-3536</v>
      </c>
      <c r="B393" t="s">
        <v>1653</v>
      </c>
      <c r="C393" t="str">
        <f>"5310"</f>
        <v>5310</v>
      </c>
      <c r="D393" t="str">
        <f>"722"</f>
        <v>722</v>
      </c>
      <c r="E393" t="s">
        <v>1352</v>
      </c>
      <c r="F393" t="s">
        <v>24</v>
      </c>
      <c r="G393" t="s">
        <v>1654</v>
      </c>
      <c r="H393" t="s">
        <v>17</v>
      </c>
      <c r="I393" t="s">
        <v>18</v>
      </c>
      <c r="J393" t="str">
        <f>"5142657042"</f>
        <v>5142657042</v>
      </c>
      <c r="K393" t="s">
        <v>1655</v>
      </c>
      <c r="L393" t="s">
        <v>20</v>
      </c>
      <c r="M393" t="s">
        <v>21</v>
      </c>
    </row>
    <row r="394" spans="1:13" x14ac:dyDescent="0.35">
      <c r="A394" t="str">
        <f>"213-5379"</f>
        <v>213-5379</v>
      </c>
      <c r="B394" t="s">
        <v>1656</v>
      </c>
      <c r="C394" t="str">
        <f>"6350"</f>
        <v>6350</v>
      </c>
      <c r="E394" t="s">
        <v>1657</v>
      </c>
      <c r="F394" t="s">
        <v>24</v>
      </c>
      <c r="G394" t="s">
        <v>1658</v>
      </c>
      <c r="H394" t="s">
        <v>17</v>
      </c>
      <c r="I394" t="s">
        <v>18</v>
      </c>
      <c r="J394" t="str">
        <f>"4385016350"</f>
        <v>4385016350</v>
      </c>
      <c r="K394" t="s">
        <v>1659</v>
      </c>
      <c r="L394" t="s">
        <v>869</v>
      </c>
      <c r="M394" t="s">
        <v>21</v>
      </c>
    </row>
    <row r="395" spans="1:13" x14ac:dyDescent="0.35">
      <c r="A395" t="str">
        <f>"212-6807"</f>
        <v>212-6807</v>
      </c>
      <c r="B395" t="s">
        <v>1661</v>
      </c>
      <c r="C395" t="str">
        <f>"6659"</f>
        <v>6659</v>
      </c>
      <c r="E395" t="s">
        <v>553</v>
      </c>
      <c r="F395" t="s">
        <v>24</v>
      </c>
      <c r="G395" t="s">
        <v>1662</v>
      </c>
      <c r="H395" t="s">
        <v>17</v>
      </c>
      <c r="I395" t="s">
        <v>18</v>
      </c>
      <c r="J395" t="str">
        <f>"4388159575"</f>
        <v>4388159575</v>
      </c>
      <c r="K395" t="s">
        <v>1663</v>
      </c>
      <c r="L395" t="s">
        <v>220</v>
      </c>
      <c r="M395" t="s">
        <v>21</v>
      </c>
    </row>
    <row r="396" spans="1:13" x14ac:dyDescent="0.35">
      <c r="A396" t="str">
        <f>"212-7659"</f>
        <v>212-7659</v>
      </c>
      <c r="B396" t="s">
        <v>1664</v>
      </c>
      <c r="C396" t="str">
        <f>"10907"</f>
        <v>10907</v>
      </c>
      <c r="D396" t="str">
        <f>"1"</f>
        <v>1</v>
      </c>
      <c r="E396" t="s">
        <v>1665</v>
      </c>
      <c r="F396" t="s">
        <v>24</v>
      </c>
      <c r="G396" t="s">
        <v>1666</v>
      </c>
      <c r="H396" t="s">
        <v>17</v>
      </c>
      <c r="I396" t="s">
        <v>18</v>
      </c>
      <c r="J396" t="str">
        <f>"4383088276"</f>
        <v>4383088276</v>
      </c>
      <c r="K396" t="s">
        <v>1667</v>
      </c>
      <c r="L396" t="s">
        <v>27</v>
      </c>
      <c r="M396" t="s">
        <v>21</v>
      </c>
    </row>
    <row r="397" spans="1:13" x14ac:dyDescent="0.35">
      <c r="A397" t="str">
        <f>"213-4770"</f>
        <v>213-4770</v>
      </c>
      <c r="B397" t="s">
        <v>1668</v>
      </c>
      <c r="C397" t="str">
        <f>"3469"</f>
        <v>3469</v>
      </c>
      <c r="D397" t="str">
        <f>"325"</f>
        <v>325</v>
      </c>
      <c r="E397" t="s">
        <v>455</v>
      </c>
      <c r="F397" t="s">
        <v>24</v>
      </c>
      <c r="G397" t="s">
        <v>1097</v>
      </c>
      <c r="H397" t="s">
        <v>17</v>
      </c>
      <c r="I397" t="s">
        <v>18</v>
      </c>
      <c r="J397" t="str">
        <f>"5148856399"</f>
        <v>5148856399</v>
      </c>
      <c r="K397" t="s">
        <v>1669</v>
      </c>
      <c r="L397" t="s">
        <v>20</v>
      </c>
      <c r="M397" t="s">
        <v>21</v>
      </c>
    </row>
    <row r="398" spans="1:13" x14ac:dyDescent="0.35">
      <c r="A398" t="str">
        <f>"616-6023"</f>
        <v>616-6023</v>
      </c>
      <c r="B398" t="s">
        <v>1670</v>
      </c>
      <c r="C398" t="str">
        <f>"5975"</f>
        <v>5975</v>
      </c>
      <c r="D398" t="str">
        <f>"513"</f>
        <v>513</v>
      </c>
      <c r="E398" t="s">
        <v>1671</v>
      </c>
      <c r="F398" t="s">
        <v>24</v>
      </c>
      <c r="G398" t="s">
        <v>1672</v>
      </c>
      <c r="H398" t="s">
        <v>17</v>
      </c>
      <c r="I398" t="s">
        <v>18</v>
      </c>
      <c r="J398" t="str">
        <f>"5149918369"</f>
        <v>5149918369</v>
      </c>
      <c r="K398" t="s">
        <v>1673</v>
      </c>
      <c r="L398" t="s">
        <v>27</v>
      </c>
      <c r="M398" t="s">
        <v>21</v>
      </c>
    </row>
    <row r="399" spans="1:13" x14ac:dyDescent="0.35">
      <c r="A399" t="str">
        <f>"124-1148"</f>
        <v>124-1148</v>
      </c>
      <c r="B399" t="s">
        <v>1674</v>
      </c>
      <c r="C399" t="str">
        <f>"38"</f>
        <v>38</v>
      </c>
      <c r="E399" t="s">
        <v>1675</v>
      </c>
      <c r="F399" t="s">
        <v>157</v>
      </c>
      <c r="G399" t="s">
        <v>1676</v>
      </c>
      <c r="H399" t="s">
        <v>17</v>
      </c>
      <c r="I399" t="s">
        <v>18</v>
      </c>
      <c r="J399" t="str">
        <f>"4507504869"</f>
        <v>4507504869</v>
      </c>
      <c r="K399" t="s">
        <v>1677</v>
      </c>
      <c r="L399" t="s">
        <v>313</v>
      </c>
      <c r="M399" t="s">
        <v>21</v>
      </c>
    </row>
    <row r="400" spans="1:13" x14ac:dyDescent="0.35">
      <c r="A400" t="str">
        <f>"132-7321"</f>
        <v>132-7321</v>
      </c>
      <c r="B400" t="s">
        <v>1678</v>
      </c>
      <c r="C400" t="str">
        <f>"7607"</f>
        <v>7607</v>
      </c>
      <c r="E400" t="s">
        <v>1679</v>
      </c>
      <c r="F400" t="s">
        <v>1680</v>
      </c>
      <c r="G400" t="s">
        <v>1681</v>
      </c>
      <c r="H400" t="s">
        <v>17</v>
      </c>
      <c r="I400" t="s">
        <v>18</v>
      </c>
      <c r="J400" t="str">
        <f>"4388227030"</f>
        <v>4388227030</v>
      </c>
      <c r="K400" t="s">
        <v>1682</v>
      </c>
      <c r="L400" t="s">
        <v>20</v>
      </c>
      <c r="M400" t="s">
        <v>21</v>
      </c>
    </row>
    <row r="401" spans="1:13" x14ac:dyDescent="0.35">
      <c r="A401" t="str">
        <f>"164-8120"</f>
        <v>164-8120</v>
      </c>
      <c r="B401" t="s">
        <v>1685</v>
      </c>
      <c r="C401" t="str">
        <f>"5155"</f>
        <v>5155</v>
      </c>
      <c r="D401" t="str">
        <f>"184"</f>
        <v>184</v>
      </c>
      <c r="E401" t="s">
        <v>1235</v>
      </c>
      <c r="F401" t="s">
        <v>24</v>
      </c>
      <c r="G401" t="s">
        <v>1686</v>
      </c>
      <c r="H401" t="s">
        <v>17</v>
      </c>
      <c r="I401" t="s">
        <v>18</v>
      </c>
      <c r="J401" t="str">
        <f>"5145182392"</f>
        <v>5145182392</v>
      </c>
      <c r="K401" t="s">
        <v>1687</v>
      </c>
      <c r="L401" t="s">
        <v>20</v>
      </c>
      <c r="M401" t="s">
        <v>21</v>
      </c>
    </row>
    <row r="402" spans="1:13" x14ac:dyDescent="0.35">
      <c r="A402" t="str">
        <f>"166-5725"</f>
        <v>166-5725</v>
      </c>
      <c r="B402" t="s">
        <v>1688</v>
      </c>
      <c r="C402" t="str">
        <f>"6444"</f>
        <v>6444</v>
      </c>
      <c r="E402" t="s">
        <v>1689</v>
      </c>
      <c r="F402" t="s">
        <v>24</v>
      </c>
      <c r="G402" t="s">
        <v>1690</v>
      </c>
      <c r="H402" t="s">
        <v>17</v>
      </c>
      <c r="I402" t="s">
        <v>18</v>
      </c>
      <c r="J402" t="str">
        <f>"5146927017"</f>
        <v>5146927017</v>
      </c>
      <c r="K402" t="s">
        <v>1691</v>
      </c>
      <c r="L402" t="s">
        <v>608</v>
      </c>
      <c r="M402" t="s">
        <v>21</v>
      </c>
    </row>
    <row r="403" spans="1:13" x14ac:dyDescent="0.35">
      <c r="A403" t="str">
        <f>"168-2641"</f>
        <v>168-2641</v>
      </c>
      <c r="B403" t="s">
        <v>1692</v>
      </c>
      <c r="C403" t="str">
        <f>"2064"</f>
        <v>2064</v>
      </c>
      <c r="E403" t="s">
        <v>1693</v>
      </c>
      <c r="F403" t="s">
        <v>24</v>
      </c>
      <c r="G403" t="s">
        <v>1694</v>
      </c>
      <c r="H403" t="s">
        <v>17</v>
      </c>
      <c r="I403" t="s">
        <v>18</v>
      </c>
      <c r="J403" t="str">
        <f>"8195880735"</f>
        <v>8195880735</v>
      </c>
      <c r="K403" t="s">
        <v>1695</v>
      </c>
      <c r="L403" t="s">
        <v>313</v>
      </c>
      <c r="M403" t="s">
        <v>21</v>
      </c>
    </row>
    <row r="404" spans="1:13" x14ac:dyDescent="0.35">
      <c r="A404" t="str">
        <f>"172-0628"</f>
        <v>172-0628</v>
      </c>
      <c r="B404" t="s">
        <v>1696</v>
      </c>
      <c r="C404" t="str">
        <f>"2435"</f>
        <v>2435</v>
      </c>
      <c r="E404" t="s">
        <v>1697</v>
      </c>
      <c r="F404" t="s">
        <v>143</v>
      </c>
      <c r="G404" t="s">
        <v>1698</v>
      </c>
      <c r="H404" t="s">
        <v>17</v>
      </c>
      <c r="I404" t="s">
        <v>18</v>
      </c>
      <c r="J404" t="str">
        <f>"4383929727"</f>
        <v>4383929727</v>
      </c>
      <c r="K404" t="s">
        <v>1699</v>
      </c>
      <c r="L404" t="s">
        <v>438</v>
      </c>
      <c r="M404" t="s">
        <v>21</v>
      </c>
    </row>
    <row r="405" spans="1:13" x14ac:dyDescent="0.35">
      <c r="A405" t="str">
        <f>"187-9292"</f>
        <v>187-9292</v>
      </c>
      <c r="B405" t="s">
        <v>1700</v>
      </c>
      <c r="C405" t="str">
        <f>"75"</f>
        <v>75</v>
      </c>
      <c r="E405" t="s">
        <v>1701</v>
      </c>
      <c r="F405" t="s">
        <v>32</v>
      </c>
      <c r="G405" t="s">
        <v>1702</v>
      </c>
      <c r="H405" t="s">
        <v>17</v>
      </c>
      <c r="I405" t="s">
        <v>18</v>
      </c>
      <c r="J405" t="str">
        <f>"5149157361"</f>
        <v>5149157361</v>
      </c>
      <c r="K405" t="s">
        <v>1703</v>
      </c>
      <c r="L405" t="s">
        <v>168</v>
      </c>
      <c r="M405" t="s">
        <v>21</v>
      </c>
    </row>
    <row r="406" spans="1:13" x14ac:dyDescent="0.35">
      <c r="A406" t="str">
        <f>"196-1310"</f>
        <v>196-1310</v>
      </c>
      <c r="B406" t="s">
        <v>1704</v>
      </c>
      <c r="C406" t="str">
        <f>"5192"</f>
        <v>5192</v>
      </c>
      <c r="E406" t="s">
        <v>1705</v>
      </c>
      <c r="F406" t="s">
        <v>24</v>
      </c>
      <c r="G406" t="s">
        <v>1706</v>
      </c>
      <c r="H406" t="s">
        <v>17</v>
      </c>
      <c r="I406" t="s">
        <v>18</v>
      </c>
      <c r="J406" t="str">
        <f>"4388823760"</f>
        <v>4388823760</v>
      </c>
      <c r="K406" t="s">
        <v>1707</v>
      </c>
      <c r="L406" t="s">
        <v>198</v>
      </c>
      <c r="M406" t="s">
        <v>21</v>
      </c>
    </row>
    <row r="407" spans="1:13" x14ac:dyDescent="0.35">
      <c r="A407" t="str">
        <f>"196-6194"</f>
        <v>196-6194</v>
      </c>
      <c r="B407" t="s">
        <v>1708</v>
      </c>
      <c r="C407" t="str">
        <f>"8410"</f>
        <v>8410</v>
      </c>
      <c r="E407" t="s">
        <v>1709</v>
      </c>
      <c r="F407" t="s">
        <v>24</v>
      </c>
      <c r="G407" t="s">
        <v>1710</v>
      </c>
      <c r="H407" t="s">
        <v>17</v>
      </c>
      <c r="I407" t="s">
        <v>18</v>
      </c>
      <c r="J407" t="str">
        <f>"4384084113"</f>
        <v>4384084113</v>
      </c>
      <c r="K407" t="s">
        <v>1711</v>
      </c>
      <c r="L407" t="s">
        <v>869</v>
      </c>
      <c r="M407" t="s">
        <v>21</v>
      </c>
    </row>
    <row r="408" spans="1:13" x14ac:dyDescent="0.35">
      <c r="A408" t="str">
        <f>"196-8384"</f>
        <v>196-8384</v>
      </c>
      <c r="B408" t="s">
        <v>1712</v>
      </c>
      <c r="C408" t="str">
        <f>"8210"</f>
        <v>8210</v>
      </c>
      <c r="E408" t="s">
        <v>1713</v>
      </c>
      <c r="F408" t="s">
        <v>24</v>
      </c>
      <c r="G408" t="s">
        <v>1714</v>
      </c>
      <c r="H408" t="s">
        <v>17</v>
      </c>
      <c r="I408" t="s">
        <v>18</v>
      </c>
      <c r="J408" t="str">
        <f>"5148985937"</f>
        <v>5148985937</v>
      </c>
      <c r="K408" t="s">
        <v>1715</v>
      </c>
      <c r="L408" t="s">
        <v>193</v>
      </c>
      <c r="M408" t="s">
        <v>21</v>
      </c>
    </row>
    <row r="409" spans="1:13" x14ac:dyDescent="0.35">
      <c r="A409" t="str">
        <f>"199-1671"</f>
        <v>199-1671</v>
      </c>
      <c r="B409" t="s">
        <v>1716</v>
      </c>
      <c r="C409" t="str">
        <f>"71"</f>
        <v>71</v>
      </c>
      <c r="E409" t="s">
        <v>1717</v>
      </c>
      <c r="F409" t="s">
        <v>54</v>
      </c>
      <c r="G409" t="s">
        <v>1718</v>
      </c>
      <c r="H409" t="s">
        <v>17</v>
      </c>
      <c r="I409" t="s">
        <v>18</v>
      </c>
      <c r="J409" t="str">
        <f>"4388806302"</f>
        <v>4388806302</v>
      </c>
      <c r="K409" t="s">
        <v>1719</v>
      </c>
      <c r="L409" t="s">
        <v>168</v>
      </c>
      <c r="M409" t="s">
        <v>21</v>
      </c>
    </row>
    <row r="410" spans="1:13" x14ac:dyDescent="0.35">
      <c r="A410" t="str">
        <f>"204-4367"</f>
        <v>204-4367</v>
      </c>
      <c r="B410" t="s">
        <v>1722</v>
      </c>
      <c r="C410" t="str">
        <f>"8400"</f>
        <v>8400</v>
      </c>
      <c r="E410" t="s">
        <v>1723</v>
      </c>
      <c r="F410" t="s">
        <v>24</v>
      </c>
      <c r="G410" t="s">
        <v>1724</v>
      </c>
      <c r="H410" t="s">
        <v>17</v>
      </c>
      <c r="I410" t="s">
        <v>18</v>
      </c>
      <c r="J410" t="str">
        <f>"5149737480"</f>
        <v>5149737480</v>
      </c>
      <c r="K410" t="s">
        <v>1725</v>
      </c>
      <c r="L410" t="s">
        <v>350</v>
      </c>
      <c r="M410" t="s">
        <v>21</v>
      </c>
    </row>
    <row r="411" spans="1:13" x14ac:dyDescent="0.35">
      <c r="A411" t="str">
        <f>"204-8546"</f>
        <v>204-8546</v>
      </c>
      <c r="B411" t="s">
        <v>1726</v>
      </c>
      <c r="C411" t="str">
        <f>"583"</f>
        <v>583</v>
      </c>
      <c r="E411" t="s">
        <v>1727</v>
      </c>
      <c r="F411" t="s">
        <v>1728</v>
      </c>
      <c r="G411" t="s">
        <v>1729</v>
      </c>
      <c r="H411" t="s">
        <v>17</v>
      </c>
      <c r="I411" t="s">
        <v>18</v>
      </c>
      <c r="J411" t="str">
        <f>"4383503114"</f>
        <v>4383503114</v>
      </c>
      <c r="K411" t="s">
        <v>1730</v>
      </c>
      <c r="L411" t="s">
        <v>39</v>
      </c>
      <c r="M411" t="s">
        <v>21</v>
      </c>
    </row>
    <row r="412" spans="1:13" x14ac:dyDescent="0.35">
      <c r="A412" t="str">
        <f>"206-7516"</f>
        <v>206-7516</v>
      </c>
      <c r="B412" t="s">
        <v>1731</v>
      </c>
      <c r="C412" t="str">
        <f>"5801"</f>
        <v>5801</v>
      </c>
      <c r="E412" t="s">
        <v>837</v>
      </c>
      <c r="F412" t="s">
        <v>24</v>
      </c>
      <c r="G412" t="s">
        <v>1732</v>
      </c>
      <c r="H412" t="s">
        <v>17</v>
      </c>
      <c r="I412" t="s">
        <v>18</v>
      </c>
      <c r="J412" t="str">
        <f>"4384085879"</f>
        <v>4384085879</v>
      </c>
      <c r="K412" t="s">
        <v>1733</v>
      </c>
      <c r="L412" t="s">
        <v>20</v>
      </c>
      <c r="M412" t="s">
        <v>21</v>
      </c>
    </row>
    <row r="413" spans="1:13" x14ac:dyDescent="0.35">
      <c r="A413" t="str">
        <f>"207-6731"</f>
        <v>207-6731</v>
      </c>
      <c r="B413" t="s">
        <v>1734</v>
      </c>
      <c r="C413" t="str">
        <f>"282"</f>
        <v>282</v>
      </c>
      <c r="E413" t="s">
        <v>1735</v>
      </c>
      <c r="F413" t="s">
        <v>32</v>
      </c>
      <c r="G413" t="s">
        <v>1736</v>
      </c>
      <c r="H413" t="s">
        <v>17</v>
      </c>
      <c r="I413" t="s">
        <v>18</v>
      </c>
      <c r="J413" t="str">
        <f>"4388852275"</f>
        <v>4388852275</v>
      </c>
      <c r="K413" t="s">
        <v>1737</v>
      </c>
      <c r="L413" t="s">
        <v>39</v>
      </c>
      <c r="M413" t="s">
        <v>21</v>
      </c>
    </row>
    <row r="414" spans="1:13" x14ac:dyDescent="0.35">
      <c r="A414" t="str">
        <f>"207-7367"</f>
        <v>207-7367</v>
      </c>
      <c r="B414" t="s">
        <v>1738</v>
      </c>
      <c r="C414" t="str">
        <f>"7370"</f>
        <v>7370</v>
      </c>
      <c r="D414" t="str">
        <f>"02"</f>
        <v>02</v>
      </c>
      <c r="E414" t="s">
        <v>372</v>
      </c>
      <c r="F414" t="s">
        <v>24</v>
      </c>
      <c r="G414" t="s">
        <v>1739</v>
      </c>
      <c r="H414" t="s">
        <v>17</v>
      </c>
      <c r="I414" t="s">
        <v>18</v>
      </c>
      <c r="J414" t="str">
        <f>"4383084079"</f>
        <v>4383084079</v>
      </c>
      <c r="K414" t="s">
        <v>1740</v>
      </c>
      <c r="L414" t="s">
        <v>220</v>
      </c>
      <c r="M414" t="s">
        <v>21</v>
      </c>
    </row>
    <row r="415" spans="1:13" x14ac:dyDescent="0.35">
      <c r="A415" t="str">
        <f>"210-8664"</f>
        <v>210-8664</v>
      </c>
      <c r="B415" t="s">
        <v>1741</v>
      </c>
      <c r="C415" t="str">
        <f>"5020"</f>
        <v>5020</v>
      </c>
      <c r="D415" t="str">
        <f>"A"</f>
        <v>A</v>
      </c>
      <c r="E415" t="s">
        <v>1742</v>
      </c>
      <c r="F415" t="s">
        <v>24</v>
      </c>
      <c r="G415" t="s">
        <v>1743</v>
      </c>
      <c r="H415" t="s">
        <v>17</v>
      </c>
      <c r="I415" t="s">
        <v>18</v>
      </c>
      <c r="J415" t="str">
        <f>"5146620712"</f>
        <v>5146620712</v>
      </c>
      <c r="K415" t="s">
        <v>1744</v>
      </c>
      <c r="L415" t="s">
        <v>27</v>
      </c>
      <c r="M415" t="s">
        <v>21</v>
      </c>
    </row>
    <row r="416" spans="1:13" x14ac:dyDescent="0.35">
      <c r="A416" t="str">
        <f>"210-8794"</f>
        <v>210-8794</v>
      </c>
      <c r="B416" t="s">
        <v>1745</v>
      </c>
      <c r="C416" t="str">
        <f>"3125"</f>
        <v>3125</v>
      </c>
      <c r="D416" t="str">
        <f>"3"</f>
        <v>3</v>
      </c>
      <c r="E416" t="s">
        <v>1746</v>
      </c>
      <c r="F416" t="s">
        <v>40</v>
      </c>
      <c r="G416" t="s">
        <v>1747</v>
      </c>
      <c r="H416" t="s">
        <v>17</v>
      </c>
      <c r="I416" t="s">
        <v>18</v>
      </c>
      <c r="J416" t="str">
        <f>"4388364209"</f>
        <v>4388364209</v>
      </c>
      <c r="K416" t="s">
        <v>1748</v>
      </c>
      <c r="L416" t="s">
        <v>27</v>
      </c>
      <c r="M416" t="s">
        <v>21</v>
      </c>
    </row>
    <row r="417" spans="1:13" x14ac:dyDescent="0.35">
      <c r="A417" t="str">
        <f>"211-2352"</f>
        <v>211-2352</v>
      </c>
      <c r="B417" t="s">
        <v>1749</v>
      </c>
      <c r="C417" t="str">
        <f>"9306"</f>
        <v>9306</v>
      </c>
      <c r="E417" t="s">
        <v>1750</v>
      </c>
      <c r="F417" t="s">
        <v>24</v>
      </c>
      <c r="G417" t="s">
        <v>1751</v>
      </c>
      <c r="H417" t="s">
        <v>17</v>
      </c>
      <c r="I417" t="s">
        <v>18</v>
      </c>
      <c r="J417" t="str">
        <f>"5147064864"</f>
        <v>5147064864</v>
      </c>
      <c r="K417" t="s">
        <v>1752</v>
      </c>
      <c r="L417" t="s">
        <v>27</v>
      </c>
      <c r="M417" t="s">
        <v>21</v>
      </c>
    </row>
    <row r="418" spans="1:13" x14ac:dyDescent="0.35">
      <c r="A418" t="str">
        <f>"212-5331"</f>
        <v>212-5331</v>
      </c>
      <c r="B418" t="s">
        <v>1753</v>
      </c>
      <c r="C418" t="str">
        <f>"6527"</f>
        <v>6527</v>
      </c>
      <c r="E418" t="s">
        <v>1754</v>
      </c>
      <c r="F418" t="s">
        <v>24</v>
      </c>
      <c r="G418" t="s">
        <v>1755</v>
      </c>
      <c r="H418" t="s">
        <v>17</v>
      </c>
      <c r="I418" t="s">
        <v>18</v>
      </c>
      <c r="J418" t="str">
        <f>"4184461926"</f>
        <v>4184461926</v>
      </c>
      <c r="K418" t="s">
        <v>1756</v>
      </c>
      <c r="L418" t="s">
        <v>20</v>
      </c>
      <c r="M418" t="s">
        <v>21</v>
      </c>
    </row>
    <row r="419" spans="1:13" x14ac:dyDescent="0.35">
      <c r="A419" t="str">
        <f>"212-7684"</f>
        <v>212-7684</v>
      </c>
      <c r="B419" t="s">
        <v>1757</v>
      </c>
      <c r="C419" t="str">
        <f>"217"</f>
        <v>217</v>
      </c>
      <c r="E419" t="s">
        <v>1758</v>
      </c>
      <c r="F419" t="s">
        <v>719</v>
      </c>
      <c r="G419" t="s">
        <v>1759</v>
      </c>
      <c r="H419" t="s">
        <v>17</v>
      </c>
      <c r="I419" t="s">
        <v>18</v>
      </c>
      <c r="J419" t="str">
        <f>"5147456542"</f>
        <v>5147456542</v>
      </c>
      <c r="K419" t="s">
        <v>1760</v>
      </c>
      <c r="L419" t="s">
        <v>193</v>
      </c>
      <c r="M419" t="s">
        <v>21</v>
      </c>
    </row>
    <row r="420" spans="1:13" x14ac:dyDescent="0.35">
      <c r="A420" t="str">
        <f>"212-7839"</f>
        <v>212-7839</v>
      </c>
      <c r="B420" t="s">
        <v>1761</v>
      </c>
      <c r="C420" t="str">
        <f>"36"</f>
        <v>36</v>
      </c>
      <c r="E420" t="s">
        <v>1762</v>
      </c>
      <c r="F420" t="s">
        <v>1763</v>
      </c>
      <c r="G420" t="s">
        <v>1764</v>
      </c>
      <c r="H420" t="s">
        <v>17</v>
      </c>
      <c r="I420" t="s">
        <v>18</v>
      </c>
      <c r="J420" t="str">
        <f>"4185762529"</f>
        <v>4185762529</v>
      </c>
      <c r="K420" t="s">
        <v>1765</v>
      </c>
      <c r="L420" t="s">
        <v>20</v>
      </c>
      <c r="M420" t="s">
        <v>21</v>
      </c>
    </row>
    <row r="421" spans="1:13" x14ac:dyDescent="0.35">
      <c r="A421" t="str">
        <f>"212-8065"</f>
        <v>212-8065</v>
      </c>
      <c r="B421" t="s">
        <v>1766</v>
      </c>
      <c r="C421" t="str">
        <f>"5353"</f>
        <v>5353</v>
      </c>
      <c r="D421" t="str">
        <f>"2"</f>
        <v>2</v>
      </c>
      <c r="E421" t="s">
        <v>1767</v>
      </c>
      <c r="F421" t="s">
        <v>24</v>
      </c>
      <c r="G421" t="s">
        <v>1768</v>
      </c>
      <c r="H421" t="s">
        <v>17</v>
      </c>
      <c r="I421" t="s">
        <v>18</v>
      </c>
      <c r="J421" t="str">
        <f>"4385310164"</f>
        <v>4385310164</v>
      </c>
      <c r="K421" t="s">
        <v>1769</v>
      </c>
      <c r="L421" t="s">
        <v>350</v>
      </c>
      <c r="M421" t="s">
        <v>21</v>
      </c>
    </row>
    <row r="422" spans="1:13" x14ac:dyDescent="0.35">
      <c r="A422" t="str">
        <f>"212-8523"</f>
        <v>212-8523</v>
      </c>
      <c r="B422" t="s">
        <v>1770</v>
      </c>
      <c r="C422" t="str">
        <f>"8081"</f>
        <v>8081</v>
      </c>
      <c r="D422" t="str">
        <f>"406"</f>
        <v>406</v>
      </c>
      <c r="E422" t="s">
        <v>1771</v>
      </c>
      <c r="F422" t="s">
        <v>24</v>
      </c>
      <c r="G422" t="s">
        <v>1772</v>
      </c>
      <c r="H422" t="s">
        <v>17</v>
      </c>
      <c r="I422" t="s">
        <v>18</v>
      </c>
      <c r="J422" t="str">
        <f>"4389225219"</f>
        <v>4389225219</v>
      </c>
      <c r="K422" t="s">
        <v>1773</v>
      </c>
      <c r="L422" t="s">
        <v>203</v>
      </c>
      <c r="M422" t="s">
        <v>21</v>
      </c>
    </row>
    <row r="423" spans="1:13" x14ac:dyDescent="0.35">
      <c r="A423" t="str">
        <f>"212-8567"</f>
        <v>212-8567</v>
      </c>
      <c r="B423" t="s">
        <v>1774</v>
      </c>
      <c r="C423" t="str">
        <f>"219"</f>
        <v>219</v>
      </c>
      <c r="E423" t="s">
        <v>1775</v>
      </c>
      <c r="F423" t="s">
        <v>1776</v>
      </c>
      <c r="G423" t="s">
        <v>1777</v>
      </c>
      <c r="H423" t="s">
        <v>17</v>
      </c>
      <c r="I423" t="s">
        <v>18</v>
      </c>
      <c r="J423" t="str">
        <f>"4385226735"</f>
        <v>4385226735</v>
      </c>
      <c r="K423" t="s">
        <v>1778</v>
      </c>
      <c r="L423" t="s">
        <v>29</v>
      </c>
      <c r="M423" t="s">
        <v>21</v>
      </c>
    </row>
    <row r="424" spans="1:13" x14ac:dyDescent="0.35">
      <c r="A424" t="str">
        <f>"212-9718"</f>
        <v>212-9718</v>
      </c>
      <c r="B424" t="s">
        <v>1779</v>
      </c>
      <c r="C424" t="str">
        <f>"790"</f>
        <v>790</v>
      </c>
      <c r="D424" t="str">
        <f>"507"</f>
        <v>507</v>
      </c>
      <c r="E424" t="s">
        <v>1780</v>
      </c>
      <c r="F424" t="s">
        <v>24</v>
      </c>
      <c r="G424" t="s">
        <v>1781</v>
      </c>
      <c r="H424" t="s">
        <v>17</v>
      </c>
      <c r="I424" t="s">
        <v>18</v>
      </c>
      <c r="J424" t="str">
        <f>"5149750602"</f>
        <v>5149750602</v>
      </c>
      <c r="K424" t="s">
        <v>1782</v>
      </c>
      <c r="L424" t="s">
        <v>20</v>
      </c>
      <c r="M424" t="s">
        <v>21</v>
      </c>
    </row>
    <row r="425" spans="1:13" x14ac:dyDescent="0.35">
      <c r="A425" t="str">
        <f>"213-0383"</f>
        <v>213-0383</v>
      </c>
      <c r="B425" t="s">
        <v>1783</v>
      </c>
      <c r="C425" t="str">
        <f>"12750"</f>
        <v>12750</v>
      </c>
      <c r="E425" t="s">
        <v>1784</v>
      </c>
      <c r="F425" t="s">
        <v>24</v>
      </c>
      <c r="G425" t="s">
        <v>1785</v>
      </c>
      <c r="H425" t="s">
        <v>17</v>
      </c>
      <c r="I425" t="s">
        <v>18</v>
      </c>
      <c r="J425" t="str">
        <f>"5148928284"</f>
        <v>5148928284</v>
      </c>
      <c r="K425" t="s">
        <v>1786</v>
      </c>
      <c r="L425" t="s">
        <v>168</v>
      </c>
      <c r="M425" t="s">
        <v>21</v>
      </c>
    </row>
    <row r="426" spans="1:13" x14ac:dyDescent="0.35">
      <c r="A426" t="str">
        <f>"213-0578"</f>
        <v>213-0578</v>
      </c>
      <c r="B426" t="s">
        <v>1787</v>
      </c>
      <c r="C426" t="str">
        <f>"2175"</f>
        <v>2175</v>
      </c>
      <c r="D426" t="str">
        <f>"1"</f>
        <v>1</v>
      </c>
      <c r="E426" t="s">
        <v>1788</v>
      </c>
      <c r="F426" t="s">
        <v>24</v>
      </c>
      <c r="G426" t="s">
        <v>1789</v>
      </c>
      <c r="H426" t="s">
        <v>17</v>
      </c>
      <c r="I426" t="s">
        <v>18</v>
      </c>
      <c r="J426" t="str">
        <f>"5148060326"</f>
        <v>5148060326</v>
      </c>
      <c r="K426" t="s">
        <v>1790</v>
      </c>
      <c r="L426" t="s">
        <v>86</v>
      </c>
      <c r="M426" t="s">
        <v>21</v>
      </c>
    </row>
    <row r="427" spans="1:13" x14ac:dyDescent="0.35">
      <c r="A427" t="str">
        <f>"213-0710"</f>
        <v>213-0710</v>
      </c>
      <c r="B427" t="s">
        <v>1793</v>
      </c>
      <c r="C427" t="str">
        <f>"7660"</f>
        <v>7660</v>
      </c>
      <c r="E427" t="s">
        <v>1794</v>
      </c>
      <c r="F427" t="s">
        <v>24</v>
      </c>
      <c r="G427" t="s">
        <v>1795</v>
      </c>
      <c r="H427" t="s">
        <v>17</v>
      </c>
      <c r="I427" t="s">
        <v>18</v>
      </c>
      <c r="J427" t="str">
        <f>"4385291721"</f>
        <v>4385291721</v>
      </c>
      <c r="K427" t="s">
        <v>1796</v>
      </c>
      <c r="L427" t="s">
        <v>869</v>
      </c>
      <c r="M427" t="s">
        <v>21</v>
      </c>
    </row>
    <row r="428" spans="1:13" x14ac:dyDescent="0.35">
      <c r="A428" t="str">
        <f>"213-1493"</f>
        <v>213-1493</v>
      </c>
      <c r="B428" t="s">
        <v>1797</v>
      </c>
      <c r="C428" t="str">
        <f>"229"</f>
        <v>229</v>
      </c>
      <c r="E428" t="s">
        <v>1798</v>
      </c>
      <c r="F428" t="s">
        <v>143</v>
      </c>
      <c r="G428" t="s">
        <v>1799</v>
      </c>
      <c r="H428" t="s">
        <v>17</v>
      </c>
      <c r="I428" t="s">
        <v>18</v>
      </c>
      <c r="J428" t="str">
        <f>"5145912709"</f>
        <v>5145912709</v>
      </c>
      <c r="K428" t="s">
        <v>1800</v>
      </c>
      <c r="L428" t="s">
        <v>39</v>
      </c>
      <c r="M428" t="s">
        <v>21</v>
      </c>
    </row>
    <row r="429" spans="1:13" x14ac:dyDescent="0.35">
      <c r="A429" t="str">
        <f>"213-2355"</f>
        <v>213-2355</v>
      </c>
      <c r="B429" t="s">
        <v>1801</v>
      </c>
      <c r="C429" t="str">
        <f>"423"</f>
        <v>423</v>
      </c>
      <c r="E429" t="s">
        <v>1802</v>
      </c>
      <c r="F429" t="s">
        <v>1803</v>
      </c>
      <c r="G429" t="s">
        <v>1804</v>
      </c>
      <c r="H429" t="s">
        <v>17</v>
      </c>
      <c r="I429" t="s">
        <v>18</v>
      </c>
      <c r="J429" t="str">
        <f>"4383459746"</f>
        <v>4383459746</v>
      </c>
      <c r="K429" t="s">
        <v>1805</v>
      </c>
      <c r="L429" t="s">
        <v>313</v>
      </c>
      <c r="M429" t="s">
        <v>21</v>
      </c>
    </row>
    <row r="430" spans="1:13" x14ac:dyDescent="0.35">
      <c r="A430" t="str">
        <f>"213-6875"</f>
        <v>213-6875</v>
      </c>
      <c r="B430" t="s">
        <v>1806</v>
      </c>
      <c r="C430" t="str">
        <f>"6983"</f>
        <v>6983</v>
      </c>
      <c r="E430" t="s">
        <v>1807</v>
      </c>
      <c r="F430" t="s">
        <v>24</v>
      </c>
      <c r="G430" t="s">
        <v>1808</v>
      </c>
      <c r="H430" t="s">
        <v>17</v>
      </c>
      <c r="I430" t="s">
        <v>18</v>
      </c>
      <c r="J430" t="str">
        <f>"5144391414"</f>
        <v>5144391414</v>
      </c>
      <c r="K430" t="s">
        <v>1809</v>
      </c>
      <c r="L430" t="s">
        <v>76</v>
      </c>
      <c r="M430" t="s">
        <v>21</v>
      </c>
    </row>
    <row r="431" spans="1:13" x14ac:dyDescent="0.35">
      <c r="A431" t="str">
        <f>"213-7413"</f>
        <v>213-7413</v>
      </c>
      <c r="B431" t="s">
        <v>1810</v>
      </c>
      <c r="C431" t="str">
        <f>"1185"</f>
        <v>1185</v>
      </c>
      <c r="E431" t="s">
        <v>1811</v>
      </c>
      <c r="F431" t="s">
        <v>157</v>
      </c>
      <c r="G431" t="s">
        <v>1812</v>
      </c>
      <c r="H431" t="s">
        <v>17</v>
      </c>
      <c r="I431" t="s">
        <v>18</v>
      </c>
      <c r="J431" t="str">
        <f>"4384551544"</f>
        <v>4384551544</v>
      </c>
      <c r="K431" t="s">
        <v>1813</v>
      </c>
      <c r="L431" t="s">
        <v>869</v>
      </c>
      <c r="M431" t="s">
        <v>21</v>
      </c>
    </row>
    <row r="432" spans="1:13" x14ac:dyDescent="0.35">
      <c r="A432" t="str">
        <f>"213-8962"</f>
        <v>213-8962</v>
      </c>
      <c r="B432" t="s">
        <v>1814</v>
      </c>
      <c r="C432" t="str">
        <f>"8115"</f>
        <v>8115</v>
      </c>
      <c r="E432" t="s">
        <v>260</v>
      </c>
      <c r="F432" t="s">
        <v>24</v>
      </c>
      <c r="G432" t="s">
        <v>1815</v>
      </c>
      <c r="H432" t="s">
        <v>17</v>
      </c>
      <c r="I432" t="s">
        <v>18</v>
      </c>
      <c r="J432" t="str">
        <f>"5147918012"</f>
        <v>5147918012</v>
      </c>
      <c r="K432" t="s">
        <v>1816</v>
      </c>
      <c r="L432" t="s">
        <v>193</v>
      </c>
      <c r="M432" t="s">
        <v>21</v>
      </c>
    </row>
    <row r="433" spans="1:13" x14ac:dyDescent="0.35">
      <c r="A433" t="str">
        <f>"214-1588"</f>
        <v>214-1588</v>
      </c>
      <c r="B433" t="s">
        <v>1817</v>
      </c>
      <c r="C433" t="str">
        <f>"10"</f>
        <v>10</v>
      </c>
      <c r="E433" t="s">
        <v>1818</v>
      </c>
      <c r="F433" t="s">
        <v>32</v>
      </c>
      <c r="G433" t="s">
        <v>1819</v>
      </c>
      <c r="H433" t="s">
        <v>17</v>
      </c>
      <c r="I433" t="s">
        <v>18</v>
      </c>
      <c r="J433" t="str">
        <f>"5144197662"</f>
        <v>5144197662</v>
      </c>
      <c r="K433" t="s">
        <v>1820</v>
      </c>
      <c r="L433" t="s">
        <v>27</v>
      </c>
      <c r="M433" t="s">
        <v>21</v>
      </c>
    </row>
    <row r="434" spans="1:13" x14ac:dyDescent="0.35">
      <c r="A434" t="str">
        <f>"214-2214"</f>
        <v>214-2214</v>
      </c>
      <c r="B434" t="s">
        <v>1821</v>
      </c>
      <c r="C434" t="str">
        <f>"11353"</f>
        <v>11353</v>
      </c>
      <c r="E434" t="s">
        <v>1822</v>
      </c>
      <c r="F434" t="s">
        <v>24</v>
      </c>
      <c r="G434" t="s">
        <v>1823</v>
      </c>
      <c r="H434" t="s">
        <v>17</v>
      </c>
      <c r="I434" t="s">
        <v>18</v>
      </c>
      <c r="J434" t="str">
        <f>"5145899982"</f>
        <v>5145899982</v>
      </c>
      <c r="K434" t="s">
        <v>1824</v>
      </c>
      <c r="L434" t="s">
        <v>534</v>
      </c>
      <c r="M434" t="s">
        <v>21</v>
      </c>
    </row>
    <row r="435" spans="1:13" x14ac:dyDescent="0.35">
      <c r="A435" t="str">
        <f>"214-9398"</f>
        <v>214-9398</v>
      </c>
      <c r="B435" t="s">
        <v>1825</v>
      </c>
      <c r="C435" t="str">
        <f>"7880"</f>
        <v>7880</v>
      </c>
      <c r="E435" t="s">
        <v>913</v>
      </c>
      <c r="F435" t="s">
        <v>24</v>
      </c>
      <c r="G435" t="s">
        <v>914</v>
      </c>
      <c r="H435" t="s">
        <v>17</v>
      </c>
      <c r="I435" t="s">
        <v>18</v>
      </c>
      <c r="J435" t="str">
        <f>"5142486952"</f>
        <v>5142486952</v>
      </c>
      <c r="K435" t="s">
        <v>1826</v>
      </c>
      <c r="L435" t="s">
        <v>29</v>
      </c>
      <c r="M435" t="s">
        <v>21</v>
      </c>
    </row>
    <row r="436" spans="1:13" x14ac:dyDescent="0.35">
      <c r="A436" t="str">
        <f>"215-0849"</f>
        <v>215-0849</v>
      </c>
      <c r="B436" t="s">
        <v>1827</v>
      </c>
      <c r="C436" t="str">
        <f>"6510"</f>
        <v>6510</v>
      </c>
      <c r="D436" t="str">
        <f>"301"</f>
        <v>301</v>
      </c>
      <c r="E436" t="s">
        <v>1828</v>
      </c>
      <c r="F436" t="s">
        <v>24</v>
      </c>
      <c r="G436" t="s">
        <v>1829</v>
      </c>
      <c r="H436" t="s">
        <v>17</v>
      </c>
      <c r="I436" t="s">
        <v>18</v>
      </c>
      <c r="J436" t="str">
        <f>"4383892904"</f>
        <v>4383892904</v>
      </c>
      <c r="K436" t="s">
        <v>1830</v>
      </c>
      <c r="L436" t="s">
        <v>88</v>
      </c>
      <c r="M436" t="s">
        <v>21</v>
      </c>
    </row>
    <row r="437" spans="1:13" x14ac:dyDescent="0.35">
      <c r="A437" t="str">
        <f>"215-1277"</f>
        <v>215-1277</v>
      </c>
      <c r="B437" t="s">
        <v>1831</v>
      </c>
      <c r="C437" t="str">
        <f>"3545"</f>
        <v>3545</v>
      </c>
      <c r="E437" t="s">
        <v>1832</v>
      </c>
      <c r="F437" t="s">
        <v>24</v>
      </c>
      <c r="G437" t="s">
        <v>1833</v>
      </c>
      <c r="H437" t="s">
        <v>17</v>
      </c>
      <c r="I437" t="s">
        <v>18</v>
      </c>
      <c r="J437" t="str">
        <f>"5819832506"</f>
        <v>5819832506</v>
      </c>
      <c r="K437" t="s">
        <v>1834</v>
      </c>
      <c r="L437" t="s">
        <v>20</v>
      </c>
      <c r="M437" t="s">
        <v>21</v>
      </c>
    </row>
    <row r="438" spans="1:13" x14ac:dyDescent="0.35">
      <c r="A438" t="str">
        <f>"215-2032"</f>
        <v>215-2032</v>
      </c>
      <c r="B438" t="s">
        <v>1836</v>
      </c>
      <c r="C438" t="str">
        <f>"1956"</f>
        <v>1956</v>
      </c>
      <c r="E438" t="s">
        <v>1837</v>
      </c>
      <c r="F438" t="s">
        <v>32</v>
      </c>
      <c r="G438" t="s">
        <v>1838</v>
      </c>
      <c r="H438" t="s">
        <v>17</v>
      </c>
      <c r="I438" t="s">
        <v>18</v>
      </c>
      <c r="J438" t="str">
        <f>"5144245406"</f>
        <v>5144245406</v>
      </c>
      <c r="K438" t="s">
        <v>1839</v>
      </c>
      <c r="L438" t="s">
        <v>39</v>
      </c>
      <c r="M438" t="s">
        <v>21</v>
      </c>
    </row>
    <row r="439" spans="1:13" x14ac:dyDescent="0.35">
      <c r="A439" t="str">
        <f>"215-2589"</f>
        <v>215-2589</v>
      </c>
      <c r="B439" t="s">
        <v>1840</v>
      </c>
      <c r="C439" t="str">
        <f>"3620"</f>
        <v>3620</v>
      </c>
      <c r="E439" t="s">
        <v>314</v>
      </c>
      <c r="F439" t="s">
        <v>24</v>
      </c>
      <c r="G439" t="s">
        <v>1841</v>
      </c>
      <c r="H439" t="s">
        <v>17</v>
      </c>
      <c r="I439" t="s">
        <v>18</v>
      </c>
      <c r="J439" t="str">
        <f>"4384037423"</f>
        <v>4384037423</v>
      </c>
      <c r="K439" t="s">
        <v>1842</v>
      </c>
      <c r="L439" t="s">
        <v>27</v>
      </c>
      <c r="M439" t="s">
        <v>21</v>
      </c>
    </row>
    <row r="440" spans="1:13" x14ac:dyDescent="0.35">
      <c r="A440" t="str">
        <f>"215-3241"</f>
        <v>215-3241</v>
      </c>
      <c r="B440" t="s">
        <v>1843</v>
      </c>
      <c r="C440" t="str">
        <f>"11150"</f>
        <v>11150</v>
      </c>
      <c r="E440" t="s">
        <v>594</v>
      </c>
      <c r="F440" t="s">
        <v>24</v>
      </c>
      <c r="G440" t="s">
        <v>1844</v>
      </c>
      <c r="H440" t="s">
        <v>17</v>
      </c>
      <c r="I440" t="s">
        <v>18</v>
      </c>
      <c r="J440" t="str">
        <f>"4385095243"</f>
        <v>4385095243</v>
      </c>
      <c r="K440" t="s">
        <v>1845</v>
      </c>
      <c r="L440" t="s">
        <v>27</v>
      </c>
      <c r="M440" t="s">
        <v>21</v>
      </c>
    </row>
    <row r="441" spans="1:13" x14ac:dyDescent="0.35">
      <c r="A441" t="str">
        <f>"215-3440"</f>
        <v>215-3440</v>
      </c>
      <c r="B441" t="s">
        <v>1846</v>
      </c>
      <c r="C441" t="str">
        <f>"1145"</f>
        <v>1145</v>
      </c>
      <c r="E441" t="s">
        <v>1847</v>
      </c>
      <c r="F441" t="s">
        <v>256</v>
      </c>
      <c r="G441" t="s">
        <v>1848</v>
      </c>
      <c r="H441" t="s">
        <v>17</v>
      </c>
      <c r="I441" t="s">
        <v>18</v>
      </c>
      <c r="J441" t="str">
        <f>"5147011628"</f>
        <v>5147011628</v>
      </c>
      <c r="K441" t="s">
        <v>1849</v>
      </c>
      <c r="L441" t="s">
        <v>70</v>
      </c>
      <c r="M441" t="s">
        <v>21</v>
      </c>
    </row>
    <row r="442" spans="1:13" x14ac:dyDescent="0.35">
      <c r="A442" t="str">
        <f>"215-4024"</f>
        <v>215-4024</v>
      </c>
      <c r="B442" t="s">
        <v>1850</v>
      </c>
      <c r="C442" t="str">
        <f>"7685"</f>
        <v>7685</v>
      </c>
      <c r="D442" t="str">
        <f>"3"</f>
        <v>3</v>
      </c>
      <c r="E442" t="s">
        <v>931</v>
      </c>
      <c r="F442" t="s">
        <v>24</v>
      </c>
      <c r="G442" t="s">
        <v>1851</v>
      </c>
      <c r="H442" t="s">
        <v>17</v>
      </c>
      <c r="I442" t="s">
        <v>18</v>
      </c>
      <c r="J442" t="str">
        <f>"5142677921"</f>
        <v>5142677921</v>
      </c>
      <c r="K442" t="s">
        <v>1852</v>
      </c>
      <c r="L442" t="s">
        <v>203</v>
      </c>
      <c r="M442" t="s">
        <v>21</v>
      </c>
    </row>
    <row r="443" spans="1:13" x14ac:dyDescent="0.35">
      <c r="A443" t="str">
        <f>"215-6027"</f>
        <v>215-6027</v>
      </c>
      <c r="B443" t="s">
        <v>1853</v>
      </c>
      <c r="C443" t="str">
        <f>"6240"</f>
        <v>6240</v>
      </c>
      <c r="E443" t="s">
        <v>1854</v>
      </c>
      <c r="F443" t="s">
        <v>24</v>
      </c>
      <c r="G443" t="s">
        <v>1855</v>
      </c>
      <c r="H443" t="s">
        <v>17</v>
      </c>
      <c r="I443" t="s">
        <v>18</v>
      </c>
      <c r="J443" t="str">
        <f>"4388384452"</f>
        <v>4388384452</v>
      </c>
      <c r="K443" t="s">
        <v>1856</v>
      </c>
      <c r="L443" t="s">
        <v>198</v>
      </c>
      <c r="M443" t="s">
        <v>21</v>
      </c>
    </row>
    <row r="444" spans="1:13" x14ac:dyDescent="0.35">
      <c r="A444" t="str">
        <f>"215-6053"</f>
        <v>215-6053</v>
      </c>
      <c r="B444" t="s">
        <v>1857</v>
      </c>
      <c r="C444" t="str">
        <f>"401"</f>
        <v>401</v>
      </c>
      <c r="E444" t="s">
        <v>1858</v>
      </c>
      <c r="F444" t="s">
        <v>24</v>
      </c>
      <c r="G444" t="s">
        <v>1859</v>
      </c>
      <c r="H444" t="s">
        <v>17</v>
      </c>
      <c r="I444" t="s">
        <v>18</v>
      </c>
      <c r="J444" t="str">
        <f>"5144629555"</f>
        <v>5144629555</v>
      </c>
      <c r="K444" t="s">
        <v>1860</v>
      </c>
      <c r="L444" t="s">
        <v>350</v>
      </c>
      <c r="M444" t="s">
        <v>21</v>
      </c>
    </row>
    <row r="445" spans="1:13" x14ac:dyDescent="0.35">
      <c r="A445" t="str">
        <f>"215-6273"</f>
        <v>215-6273</v>
      </c>
      <c r="B445" t="s">
        <v>1861</v>
      </c>
      <c r="C445" t="str">
        <f>"8010"</f>
        <v>8010</v>
      </c>
      <c r="D445" t="str">
        <f>"1"</f>
        <v>1</v>
      </c>
      <c r="E445" t="s">
        <v>129</v>
      </c>
      <c r="F445" t="s">
        <v>24</v>
      </c>
      <c r="G445" t="s">
        <v>1862</v>
      </c>
      <c r="H445" t="s">
        <v>17</v>
      </c>
      <c r="I445" t="s">
        <v>18</v>
      </c>
      <c r="J445" t="str">
        <f>"4382394818"</f>
        <v>4382394818</v>
      </c>
      <c r="K445" t="s">
        <v>1863</v>
      </c>
      <c r="L445" t="s">
        <v>319</v>
      </c>
      <c r="M445" t="s">
        <v>21</v>
      </c>
    </row>
    <row r="446" spans="1:13" x14ac:dyDescent="0.35">
      <c r="A446" t="str">
        <f>"215-6913"</f>
        <v>215-6913</v>
      </c>
      <c r="B446" t="s">
        <v>1864</v>
      </c>
      <c r="C446" t="str">
        <f>"6119"</f>
        <v>6119</v>
      </c>
      <c r="E446" t="s">
        <v>1660</v>
      </c>
      <c r="F446" t="s">
        <v>24</v>
      </c>
      <c r="G446" t="s">
        <v>1865</v>
      </c>
      <c r="H446" t="s">
        <v>17</v>
      </c>
      <c r="I446" t="s">
        <v>18</v>
      </c>
      <c r="J446" t="str">
        <f>"5144641384"</f>
        <v>5144641384</v>
      </c>
      <c r="K446" t="s">
        <v>1866</v>
      </c>
      <c r="L446" t="s">
        <v>27</v>
      </c>
      <c r="M446" t="s">
        <v>21</v>
      </c>
    </row>
    <row r="447" spans="1:13" x14ac:dyDescent="0.35">
      <c r="A447" t="str">
        <f>"215-6897"</f>
        <v>215-6897</v>
      </c>
      <c r="B447" t="s">
        <v>1867</v>
      </c>
      <c r="C447" t="str">
        <f>"7351"</f>
        <v>7351</v>
      </c>
      <c r="D447" t="str">
        <f>"304"</f>
        <v>304</v>
      </c>
      <c r="E447" t="s">
        <v>1276</v>
      </c>
      <c r="F447" t="s">
        <v>24</v>
      </c>
      <c r="G447" t="s">
        <v>1868</v>
      </c>
      <c r="H447" t="s">
        <v>17</v>
      </c>
      <c r="I447" t="s">
        <v>18</v>
      </c>
      <c r="J447" t="str">
        <f>"4389952418"</f>
        <v>4389952418</v>
      </c>
      <c r="K447" t="s">
        <v>1869</v>
      </c>
      <c r="L447" t="s">
        <v>27</v>
      </c>
      <c r="M447" t="s">
        <v>21</v>
      </c>
    </row>
    <row r="448" spans="1:13" x14ac:dyDescent="0.35">
      <c r="A448" t="str">
        <f>"215-7576"</f>
        <v>215-7576</v>
      </c>
      <c r="B448" t="s">
        <v>1870</v>
      </c>
      <c r="C448" t="str">
        <f>"7436"</f>
        <v>7436</v>
      </c>
      <c r="E448" t="s">
        <v>1871</v>
      </c>
      <c r="F448" t="s">
        <v>24</v>
      </c>
      <c r="G448" t="s">
        <v>1872</v>
      </c>
      <c r="H448" t="s">
        <v>17</v>
      </c>
      <c r="I448" t="s">
        <v>18</v>
      </c>
      <c r="J448" t="str">
        <f>"5147011596"</f>
        <v>5147011596</v>
      </c>
      <c r="K448" t="s">
        <v>1873</v>
      </c>
      <c r="L448" t="s">
        <v>168</v>
      </c>
      <c r="M448" t="s">
        <v>21</v>
      </c>
    </row>
    <row r="449" spans="1:13" x14ac:dyDescent="0.35">
      <c r="A449" t="str">
        <f>"216-5464"</f>
        <v>216-5464</v>
      </c>
      <c r="B449" t="s">
        <v>1874</v>
      </c>
      <c r="C449" t="str">
        <f>"13715"</f>
        <v>13715</v>
      </c>
      <c r="E449" t="s">
        <v>1875</v>
      </c>
      <c r="F449" t="s">
        <v>24</v>
      </c>
      <c r="G449" t="s">
        <v>1876</v>
      </c>
      <c r="H449" t="s">
        <v>17</v>
      </c>
      <c r="I449" t="s">
        <v>18</v>
      </c>
      <c r="J449" t="str">
        <f>"5149771215"</f>
        <v>5149771215</v>
      </c>
      <c r="K449" t="s">
        <v>1877</v>
      </c>
      <c r="L449" t="s">
        <v>1878</v>
      </c>
      <c r="M449" t="s">
        <v>21</v>
      </c>
    </row>
    <row r="450" spans="1:13" x14ac:dyDescent="0.35">
      <c r="A450" t="str">
        <f>"216-6223"</f>
        <v>216-6223</v>
      </c>
      <c r="B450" t="s">
        <v>1879</v>
      </c>
      <c r="C450" t="str">
        <f>"4516"</f>
        <v>4516</v>
      </c>
      <c r="E450" t="s">
        <v>1880</v>
      </c>
      <c r="F450" t="s">
        <v>24</v>
      </c>
      <c r="G450" t="s">
        <v>1881</v>
      </c>
      <c r="H450" t="s">
        <v>17</v>
      </c>
      <c r="I450" t="s">
        <v>18</v>
      </c>
      <c r="J450" t="str">
        <f>"5147125340"</f>
        <v>5147125340</v>
      </c>
      <c r="K450" t="s">
        <v>1882</v>
      </c>
      <c r="L450" t="s">
        <v>396</v>
      </c>
      <c r="M450" t="s">
        <v>21</v>
      </c>
    </row>
    <row r="451" spans="1:13" x14ac:dyDescent="0.35">
      <c r="A451" t="str">
        <f>"216-6566"</f>
        <v>216-6566</v>
      </c>
      <c r="B451" t="s">
        <v>1883</v>
      </c>
      <c r="C451" t="str">
        <f>"266"</f>
        <v>266</v>
      </c>
      <c r="E451" t="s">
        <v>1884</v>
      </c>
      <c r="F451" t="s">
        <v>24</v>
      </c>
      <c r="G451" t="s">
        <v>1885</v>
      </c>
      <c r="H451" t="s">
        <v>17</v>
      </c>
      <c r="I451" t="s">
        <v>18</v>
      </c>
      <c r="J451" t="str">
        <f>"5149782660"</f>
        <v>5149782660</v>
      </c>
      <c r="K451" t="s">
        <v>1886</v>
      </c>
      <c r="L451" t="s">
        <v>383</v>
      </c>
      <c r="M451" t="s">
        <v>21</v>
      </c>
    </row>
    <row r="452" spans="1:13" x14ac:dyDescent="0.35">
      <c r="A452" t="str">
        <f>"216-6618"</f>
        <v>216-6618</v>
      </c>
      <c r="B452" t="s">
        <v>1887</v>
      </c>
      <c r="C452" t="str">
        <f>"1117"</f>
        <v>1117</v>
      </c>
      <c r="E452" t="s">
        <v>1888</v>
      </c>
      <c r="F452" t="s">
        <v>32</v>
      </c>
      <c r="G452" t="s">
        <v>1889</v>
      </c>
      <c r="H452" t="s">
        <v>17</v>
      </c>
      <c r="I452" t="s">
        <v>18</v>
      </c>
      <c r="J452" t="str">
        <f>"5144764585"</f>
        <v>5144764585</v>
      </c>
      <c r="K452" t="s">
        <v>1890</v>
      </c>
      <c r="L452" t="s">
        <v>396</v>
      </c>
      <c r="M452" t="s">
        <v>21</v>
      </c>
    </row>
    <row r="453" spans="1:13" x14ac:dyDescent="0.35">
      <c r="A453" t="str">
        <f>"216-8403"</f>
        <v>216-8403</v>
      </c>
      <c r="B453" t="s">
        <v>1891</v>
      </c>
      <c r="C453" t="str">
        <f>"6661"</f>
        <v>6661</v>
      </c>
      <c r="D453" t="str">
        <f>"4"</f>
        <v>4</v>
      </c>
      <c r="E453" t="s">
        <v>1892</v>
      </c>
      <c r="F453" t="s">
        <v>24</v>
      </c>
      <c r="G453" t="s">
        <v>1893</v>
      </c>
      <c r="H453" t="s">
        <v>17</v>
      </c>
      <c r="I453" t="s">
        <v>18</v>
      </c>
      <c r="J453" t="str">
        <f>"4383986714"</f>
        <v>4383986714</v>
      </c>
      <c r="K453" t="s">
        <v>1894</v>
      </c>
      <c r="L453" t="s">
        <v>168</v>
      </c>
      <c r="M453" t="s">
        <v>21</v>
      </c>
    </row>
    <row r="454" spans="1:13" x14ac:dyDescent="0.35">
      <c r="A454" t="str">
        <f>"216-8815"</f>
        <v>216-8815</v>
      </c>
      <c r="B454" t="s">
        <v>1895</v>
      </c>
      <c r="C454" t="str">
        <f>"5231"</f>
        <v>5231</v>
      </c>
      <c r="E454" t="s">
        <v>837</v>
      </c>
      <c r="F454" t="s">
        <v>24</v>
      </c>
      <c r="G454" t="s">
        <v>1896</v>
      </c>
      <c r="H454" t="s">
        <v>17</v>
      </c>
      <c r="I454" t="s">
        <v>18</v>
      </c>
      <c r="J454" t="str">
        <f>"5146221168"</f>
        <v>5146221168</v>
      </c>
      <c r="K454" t="s">
        <v>1897</v>
      </c>
      <c r="L454" t="s">
        <v>20</v>
      </c>
      <c r="M454" t="s">
        <v>21</v>
      </c>
    </row>
    <row r="455" spans="1:13" x14ac:dyDescent="0.35">
      <c r="A455" t="str">
        <f>"216-9143"</f>
        <v>216-9143</v>
      </c>
      <c r="B455" t="s">
        <v>1898</v>
      </c>
      <c r="C455" t="str">
        <f>"6062"</f>
        <v>6062</v>
      </c>
      <c r="D455" t="str">
        <f>"3"</f>
        <v>3</v>
      </c>
      <c r="E455" t="s">
        <v>389</v>
      </c>
      <c r="F455" t="s">
        <v>24</v>
      </c>
      <c r="G455" t="s">
        <v>390</v>
      </c>
      <c r="H455" t="s">
        <v>17</v>
      </c>
      <c r="I455" t="s">
        <v>18</v>
      </c>
      <c r="J455" t="str">
        <f>"4389200063"</f>
        <v>4389200063</v>
      </c>
      <c r="K455" t="s">
        <v>1899</v>
      </c>
      <c r="L455" t="s">
        <v>27</v>
      </c>
      <c r="M455" t="s">
        <v>21</v>
      </c>
    </row>
    <row r="456" spans="1:13" x14ac:dyDescent="0.35">
      <c r="A456" t="str">
        <f>"216-9343"</f>
        <v>216-9343</v>
      </c>
      <c r="B456" t="s">
        <v>1900</v>
      </c>
      <c r="C456" t="str">
        <f>"12311"</f>
        <v>12311</v>
      </c>
      <c r="E456" t="s">
        <v>1901</v>
      </c>
      <c r="F456" t="s">
        <v>24</v>
      </c>
      <c r="G456" t="s">
        <v>1902</v>
      </c>
      <c r="H456" t="s">
        <v>17</v>
      </c>
      <c r="I456" t="s">
        <v>18</v>
      </c>
      <c r="J456" t="str">
        <f>"4383086506"</f>
        <v>4383086506</v>
      </c>
      <c r="K456" t="s">
        <v>1903</v>
      </c>
      <c r="L456" t="s">
        <v>27</v>
      </c>
      <c r="M456" t="s">
        <v>21</v>
      </c>
    </row>
    <row r="457" spans="1:13" x14ac:dyDescent="0.35">
      <c r="A457" t="str">
        <f>"217-1137"</f>
        <v>217-1137</v>
      </c>
      <c r="B457" t="s">
        <v>1904</v>
      </c>
      <c r="C457" t="str">
        <f>"9037"</f>
        <v>9037</v>
      </c>
      <c r="E457" t="s">
        <v>1905</v>
      </c>
      <c r="F457" t="s">
        <v>24</v>
      </c>
      <c r="G457" t="s">
        <v>1906</v>
      </c>
      <c r="H457" t="s">
        <v>17</v>
      </c>
      <c r="I457" t="s">
        <v>18</v>
      </c>
      <c r="J457" t="str">
        <f>"4384995371"</f>
        <v>4384995371</v>
      </c>
      <c r="K457" t="s">
        <v>1907</v>
      </c>
      <c r="L457" t="s">
        <v>27</v>
      </c>
      <c r="M457" t="s">
        <v>21</v>
      </c>
    </row>
    <row r="458" spans="1:13" x14ac:dyDescent="0.35">
      <c r="A458" t="str">
        <f>"217-1232"</f>
        <v>217-1232</v>
      </c>
      <c r="B458" t="s">
        <v>1908</v>
      </c>
      <c r="C458" t="str">
        <f>"6628"</f>
        <v>6628</v>
      </c>
      <c r="E458" t="s">
        <v>253</v>
      </c>
      <c r="F458" t="s">
        <v>24</v>
      </c>
      <c r="G458" t="s">
        <v>1909</v>
      </c>
      <c r="H458" t="s">
        <v>17</v>
      </c>
      <c r="I458" t="s">
        <v>18</v>
      </c>
      <c r="J458" t="str">
        <f>"5147964567"</f>
        <v>5147964567</v>
      </c>
      <c r="K458" t="s">
        <v>1910</v>
      </c>
      <c r="L458" t="s">
        <v>168</v>
      </c>
      <c r="M458" t="s">
        <v>21</v>
      </c>
    </row>
    <row r="459" spans="1:13" x14ac:dyDescent="0.35">
      <c r="A459" t="str">
        <f>"217-4214"</f>
        <v>217-4214</v>
      </c>
      <c r="B459" t="s">
        <v>1911</v>
      </c>
      <c r="C459" t="str">
        <f>"8271"</f>
        <v>8271</v>
      </c>
      <c r="D459" t="str">
        <f>"5"</f>
        <v>5</v>
      </c>
      <c r="E459" t="s">
        <v>1912</v>
      </c>
      <c r="F459" t="s">
        <v>24</v>
      </c>
      <c r="G459" t="s">
        <v>1913</v>
      </c>
      <c r="H459" t="s">
        <v>17</v>
      </c>
      <c r="I459" t="s">
        <v>18</v>
      </c>
      <c r="J459" t="str">
        <f>"5144307306"</f>
        <v>5144307306</v>
      </c>
      <c r="K459" t="s">
        <v>1914</v>
      </c>
      <c r="L459" t="s">
        <v>608</v>
      </c>
      <c r="M459" t="s">
        <v>21</v>
      </c>
    </row>
    <row r="460" spans="1:13" x14ac:dyDescent="0.35">
      <c r="A460" t="str">
        <f>"217-4775"</f>
        <v>217-4775</v>
      </c>
      <c r="B460" t="s">
        <v>1915</v>
      </c>
      <c r="C460" t="str">
        <f>"174"</f>
        <v>174</v>
      </c>
      <c r="E460" t="s">
        <v>1916</v>
      </c>
      <c r="F460" t="s">
        <v>32</v>
      </c>
      <c r="G460" t="s">
        <v>1917</v>
      </c>
      <c r="H460" t="s">
        <v>17</v>
      </c>
      <c r="I460" t="s">
        <v>18</v>
      </c>
      <c r="J460" t="str">
        <f>"4389306498"</f>
        <v>4389306498</v>
      </c>
      <c r="K460" t="s">
        <v>1918</v>
      </c>
      <c r="L460" t="s">
        <v>27</v>
      </c>
      <c r="M460" t="s">
        <v>21</v>
      </c>
    </row>
    <row r="461" spans="1:13" x14ac:dyDescent="0.35">
      <c r="A461" t="str">
        <f>"217-5076"</f>
        <v>217-5076</v>
      </c>
      <c r="B461" t="s">
        <v>1919</v>
      </c>
      <c r="C461" t="str">
        <f>"11048"</f>
        <v>11048</v>
      </c>
      <c r="D461" t="str">
        <f>"1"</f>
        <v>1</v>
      </c>
      <c r="E461" t="s">
        <v>1920</v>
      </c>
      <c r="F461" t="s">
        <v>24</v>
      </c>
      <c r="G461" t="s">
        <v>1921</v>
      </c>
      <c r="H461" t="s">
        <v>17</v>
      </c>
      <c r="I461" t="s">
        <v>18</v>
      </c>
      <c r="J461" t="str">
        <f>"4385263001"</f>
        <v>4385263001</v>
      </c>
      <c r="K461" t="s">
        <v>1922</v>
      </c>
      <c r="L461" t="s">
        <v>220</v>
      </c>
      <c r="M461" t="s">
        <v>21</v>
      </c>
    </row>
    <row r="462" spans="1:13" x14ac:dyDescent="0.35">
      <c r="A462" t="str">
        <f>"217-5755"</f>
        <v>217-5755</v>
      </c>
      <c r="B462" t="s">
        <v>1923</v>
      </c>
      <c r="C462" t="str">
        <f>"4641"</f>
        <v>4641</v>
      </c>
      <c r="E462" t="s">
        <v>286</v>
      </c>
      <c r="F462" t="s">
        <v>24</v>
      </c>
      <c r="G462" t="s">
        <v>1924</v>
      </c>
      <c r="H462" t="s">
        <v>17</v>
      </c>
      <c r="I462" t="s">
        <v>18</v>
      </c>
      <c r="J462" t="str">
        <f>"5145541189"</f>
        <v>5145541189</v>
      </c>
      <c r="K462" t="s">
        <v>1925</v>
      </c>
      <c r="L462" t="s">
        <v>20</v>
      </c>
      <c r="M462" t="s">
        <v>21</v>
      </c>
    </row>
    <row r="463" spans="1:13" x14ac:dyDescent="0.35">
      <c r="A463" t="str">
        <f>"217-7065"</f>
        <v>217-7065</v>
      </c>
      <c r="B463" t="s">
        <v>1926</v>
      </c>
      <c r="C463" t="str">
        <f>"8626"</f>
        <v>8626</v>
      </c>
      <c r="E463" t="s">
        <v>1927</v>
      </c>
      <c r="F463" t="s">
        <v>40</v>
      </c>
      <c r="G463" t="s">
        <v>1928</v>
      </c>
      <c r="H463" t="s">
        <v>17</v>
      </c>
      <c r="I463" t="s">
        <v>18</v>
      </c>
      <c r="J463" t="str">
        <f>"5145743185"</f>
        <v>5145743185</v>
      </c>
      <c r="K463" t="s">
        <v>1929</v>
      </c>
      <c r="L463" t="s">
        <v>86</v>
      </c>
      <c r="M463" t="s">
        <v>21</v>
      </c>
    </row>
    <row r="464" spans="1:13" x14ac:dyDescent="0.35">
      <c r="A464" t="str">
        <f>"218-1592"</f>
        <v>218-1592</v>
      </c>
      <c r="B464" t="s">
        <v>1930</v>
      </c>
      <c r="C464" t="str">
        <f>"6995"</f>
        <v>6995</v>
      </c>
      <c r="D464" t="str">
        <f>"1"</f>
        <v>1</v>
      </c>
      <c r="E464" t="s">
        <v>1931</v>
      </c>
      <c r="F464" t="s">
        <v>24</v>
      </c>
      <c r="G464" t="s">
        <v>1932</v>
      </c>
      <c r="H464" t="s">
        <v>17</v>
      </c>
      <c r="I464" t="s">
        <v>18</v>
      </c>
      <c r="J464" t="str">
        <f>"5142982782"</f>
        <v>5142982782</v>
      </c>
      <c r="K464" t="s">
        <v>1933</v>
      </c>
      <c r="L464" t="s">
        <v>137</v>
      </c>
      <c r="M464" t="s">
        <v>21</v>
      </c>
    </row>
    <row r="465" spans="1:13" x14ac:dyDescent="0.35">
      <c r="A465" t="str">
        <f>"218-2997"</f>
        <v>218-2997</v>
      </c>
      <c r="B465" t="s">
        <v>1934</v>
      </c>
      <c r="C465" t="str">
        <f>"6005"</f>
        <v>6005</v>
      </c>
      <c r="D465" t="str">
        <f>"203"</f>
        <v>203</v>
      </c>
      <c r="E465" t="s">
        <v>100</v>
      </c>
      <c r="F465" t="s">
        <v>40</v>
      </c>
      <c r="G465" t="s">
        <v>1935</v>
      </c>
      <c r="H465" t="s">
        <v>17</v>
      </c>
      <c r="I465" t="s">
        <v>18</v>
      </c>
      <c r="J465" t="str">
        <f>"4382261166"</f>
        <v>4382261166</v>
      </c>
      <c r="K465" t="s">
        <v>1936</v>
      </c>
      <c r="L465" t="s">
        <v>86</v>
      </c>
      <c r="M465" t="s">
        <v>21</v>
      </c>
    </row>
    <row r="466" spans="1:13" x14ac:dyDescent="0.35">
      <c r="A466" t="str">
        <f>"218-5116"</f>
        <v>218-5116</v>
      </c>
      <c r="B466" t="s">
        <v>1937</v>
      </c>
      <c r="C466" t="str">
        <f>"9020"</f>
        <v>9020</v>
      </c>
      <c r="E466" t="s">
        <v>1343</v>
      </c>
      <c r="F466" t="s">
        <v>24</v>
      </c>
      <c r="G466" t="s">
        <v>1938</v>
      </c>
      <c r="H466" t="s">
        <v>17</v>
      </c>
      <c r="I466" t="s">
        <v>18</v>
      </c>
      <c r="J466" t="str">
        <f>"4385081302"</f>
        <v>4385081302</v>
      </c>
      <c r="K466" t="s">
        <v>1939</v>
      </c>
      <c r="L466" t="s">
        <v>396</v>
      </c>
      <c r="M466" t="s">
        <v>21</v>
      </c>
    </row>
    <row r="467" spans="1:13" x14ac:dyDescent="0.35">
      <c r="A467" t="str">
        <f>"218-5283"</f>
        <v>218-5283</v>
      </c>
      <c r="B467" t="s">
        <v>1940</v>
      </c>
      <c r="C467" t="str">
        <f>"6063"</f>
        <v>6063</v>
      </c>
      <c r="E467" t="s">
        <v>1941</v>
      </c>
      <c r="F467" t="s">
        <v>24</v>
      </c>
      <c r="G467" t="s">
        <v>1942</v>
      </c>
      <c r="H467" t="s">
        <v>17</v>
      </c>
      <c r="I467" t="s">
        <v>18</v>
      </c>
      <c r="J467" t="str">
        <f>"4382828192"</f>
        <v>4382828192</v>
      </c>
      <c r="K467" t="s">
        <v>1943</v>
      </c>
      <c r="L467" t="s">
        <v>396</v>
      </c>
      <c r="M467" t="s">
        <v>21</v>
      </c>
    </row>
    <row r="468" spans="1:13" x14ac:dyDescent="0.35">
      <c r="A468" t="str">
        <f>"218-9345"</f>
        <v>218-9345</v>
      </c>
      <c r="B468" t="s">
        <v>1944</v>
      </c>
      <c r="C468" t="str">
        <f>"835"</f>
        <v>835</v>
      </c>
      <c r="D468" t="str">
        <f>"3"</f>
        <v>3</v>
      </c>
      <c r="E468" t="s">
        <v>1945</v>
      </c>
      <c r="F468" t="s">
        <v>24</v>
      </c>
      <c r="G468" t="s">
        <v>1946</v>
      </c>
      <c r="H468" t="s">
        <v>17</v>
      </c>
      <c r="I468" t="s">
        <v>18</v>
      </c>
      <c r="J468" t="str">
        <f>"5147137368"</f>
        <v>5147137368</v>
      </c>
      <c r="K468" t="s">
        <v>1947</v>
      </c>
      <c r="L468" t="s">
        <v>168</v>
      </c>
      <c r="M468" t="s">
        <v>21</v>
      </c>
    </row>
    <row r="469" spans="1:13" x14ac:dyDescent="0.35">
      <c r="A469" t="str">
        <f>"218-9499"</f>
        <v>218-9499</v>
      </c>
      <c r="B469" t="s">
        <v>1948</v>
      </c>
      <c r="C469" t="str">
        <f>"3055"</f>
        <v>3055</v>
      </c>
      <c r="E469" t="s">
        <v>1949</v>
      </c>
      <c r="F469" t="s">
        <v>24</v>
      </c>
      <c r="G469" t="s">
        <v>1950</v>
      </c>
      <c r="H469" t="s">
        <v>17</v>
      </c>
      <c r="I469" t="s">
        <v>18</v>
      </c>
      <c r="J469" t="str">
        <f>"4383039795"</f>
        <v>4383039795</v>
      </c>
      <c r="K469" t="s">
        <v>1951</v>
      </c>
      <c r="L469" t="s">
        <v>466</v>
      </c>
      <c r="M469" t="s">
        <v>21</v>
      </c>
    </row>
    <row r="470" spans="1:13" x14ac:dyDescent="0.35">
      <c r="A470" t="str">
        <f>"219-0145"</f>
        <v>219-0145</v>
      </c>
      <c r="B470" t="s">
        <v>1952</v>
      </c>
      <c r="C470" t="str">
        <f>"725"</f>
        <v>725</v>
      </c>
      <c r="E470" t="s">
        <v>837</v>
      </c>
      <c r="F470" t="s">
        <v>24</v>
      </c>
      <c r="G470" t="s">
        <v>1953</v>
      </c>
      <c r="H470" t="s">
        <v>17</v>
      </c>
      <c r="I470" t="s">
        <v>18</v>
      </c>
      <c r="J470" t="str">
        <f>"4388708554"</f>
        <v>4388708554</v>
      </c>
      <c r="K470" t="s">
        <v>1954</v>
      </c>
      <c r="L470" t="s">
        <v>350</v>
      </c>
      <c r="M470" t="s">
        <v>21</v>
      </c>
    </row>
    <row r="471" spans="1:13" x14ac:dyDescent="0.35">
      <c r="A471" t="str">
        <f>"219-0284"</f>
        <v>219-0284</v>
      </c>
      <c r="B471" t="s">
        <v>1955</v>
      </c>
      <c r="C471" t="str">
        <f>"1650"</f>
        <v>1650</v>
      </c>
      <c r="E471" t="s">
        <v>1956</v>
      </c>
      <c r="F471" t="s">
        <v>143</v>
      </c>
      <c r="G471" t="s">
        <v>1957</v>
      </c>
      <c r="H471" t="s">
        <v>17</v>
      </c>
      <c r="I471" t="s">
        <v>18</v>
      </c>
      <c r="J471" t="str">
        <f>"5149795720"</f>
        <v>5149795720</v>
      </c>
      <c r="K471" t="s">
        <v>1958</v>
      </c>
      <c r="L471" t="s">
        <v>313</v>
      </c>
      <c r="M471" t="s">
        <v>21</v>
      </c>
    </row>
    <row r="472" spans="1:13" x14ac:dyDescent="0.35">
      <c r="A472" t="str">
        <f>"615-3024"</f>
        <v>615-3024</v>
      </c>
      <c r="B472" t="s">
        <v>1959</v>
      </c>
      <c r="C472" t="str">
        <f>"695"</f>
        <v>695</v>
      </c>
      <c r="D472" t="str">
        <f>"3"</f>
        <v>3</v>
      </c>
      <c r="E472" t="s">
        <v>459</v>
      </c>
      <c r="F472" t="s">
        <v>54</v>
      </c>
      <c r="G472" t="s">
        <v>460</v>
      </c>
      <c r="H472" t="s">
        <v>17</v>
      </c>
      <c r="I472" t="s">
        <v>18</v>
      </c>
      <c r="J472" t="str">
        <f>"4384642217"</f>
        <v>4384642217</v>
      </c>
      <c r="K472" t="s">
        <v>1960</v>
      </c>
      <c r="L472" t="s">
        <v>29</v>
      </c>
      <c r="M472" t="s">
        <v>21</v>
      </c>
    </row>
    <row r="473" spans="1:13" x14ac:dyDescent="0.35">
      <c r="A473" t="str">
        <f>"923-8977"</f>
        <v>923-8977</v>
      </c>
      <c r="B473" t="s">
        <v>1961</v>
      </c>
      <c r="C473" t="str">
        <f>"4502"</f>
        <v>4502</v>
      </c>
      <c r="D473" t="str">
        <f>"5"</f>
        <v>5</v>
      </c>
      <c r="E473" t="s">
        <v>1962</v>
      </c>
      <c r="F473" t="s">
        <v>24</v>
      </c>
      <c r="G473" t="s">
        <v>1963</v>
      </c>
      <c r="H473" t="s">
        <v>17</v>
      </c>
      <c r="I473" t="s">
        <v>18</v>
      </c>
      <c r="J473" t="str">
        <f>"5144199380"</f>
        <v>5144199380</v>
      </c>
      <c r="K473" t="s">
        <v>1964</v>
      </c>
      <c r="L473" t="s">
        <v>27</v>
      </c>
      <c r="M473" t="s">
        <v>21</v>
      </c>
    </row>
    <row r="474" spans="1:13" x14ac:dyDescent="0.35">
      <c r="A474" t="str">
        <f>"996-4161"</f>
        <v>996-4161</v>
      </c>
      <c r="B474" t="s">
        <v>1965</v>
      </c>
      <c r="C474" t="str">
        <f>"2532"</f>
        <v>2532</v>
      </c>
      <c r="E474" t="s">
        <v>1966</v>
      </c>
      <c r="F474" t="s">
        <v>24</v>
      </c>
      <c r="G474" t="s">
        <v>1967</v>
      </c>
      <c r="H474" t="s">
        <v>17</v>
      </c>
      <c r="I474" t="s">
        <v>18</v>
      </c>
      <c r="J474" t="str">
        <f>"4383784636"</f>
        <v>4383784636</v>
      </c>
      <c r="K474" t="s">
        <v>1968</v>
      </c>
      <c r="L474" t="s">
        <v>319</v>
      </c>
      <c r="M474" t="s">
        <v>21</v>
      </c>
    </row>
    <row r="475" spans="1:13" x14ac:dyDescent="0.35">
      <c r="A475" t="str">
        <f>"617-3958"</f>
        <v>617-3958</v>
      </c>
      <c r="B475" t="s">
        <v>1969</v>
      </c>
      <c r="C475" t="str">
        <f>"8509"</f>
        <v>8509</v>
      </c>
      <c r="E475" t="s">
        <v>1970</v>
      </c>
      <c r="F475" t="s">
        <v>24</v>
      </c>
      <c r="G475" t="s">
        <v>1971</v>
      </c>
      <c r="H475" t="s">
        <v>17</v>
      </c>
      <c r="I475" t="s">
        <v>18</v>
      </c>
      <c r="J475" t="str">
        <f>"4383739799"</f>
        <v>4383739799</v>
      </c>
      <c r="K475" t="s">
        <v>1972</v>
      </c>
      <c r="L475" t="s">
        <v>168</v>
      </c>
      <c r="M475" t="s">
        <v>21</v>
      </c>
    </row>
    <row r="476" spans="1:13" x14ac:dyDescent="0.35">
      <c r="A476" t="str">
        <f>"218-0165"</f>
        <v>218-0165</v>
      </c>
      <c r="B476" t="s">
        <v>1973</v>
      </c>
      <c r="C476" t="str">
        <f>"3469"</f>
        <v>3469</v>
      </c>
      <c r="D476" t="str">
        <f>"156"</f>
        <v>156</v>
      </c>
      <c r="E476" t="s">
        <v>455</v>
      </c>
      <c r="F476" t="s">
        <v>24</v>
      </c>
      <c r="G476" t="s">
        <v>1097</v>
      </c>
      <c r="H476" t="s">
        <v>17</v>
      </c>
      <c r="I476" t="s">
        <v>18</v>
      </c>
      <c r="J476" t="str">
        <f>"5148363368"</f>
        <v>5148363368</v>
      </c>
      <c r="K476" t="s">
        <v>1974</v>
      </c>
      <c r="L476" t="s">
        <v>76</v>
      </c>
      <c r="M476" t="s">
        <v>21</v>
      </c>
    </row>
    <row r="477" spans="1:13" x14ac:dyDescent="0.35">
      <c r="A477" t="str">
        <f>"617-4534"</f>
        <v>617-4534</v>
      </c>
      <c r="B477" t="s">
        <v>1975</v>
      </c>
      <c r="C477" t="str">
        <f>"3295"</f>
        <v>3295</v>
      </c>
      <c r="E477" t="s">
        <v>1283</v>
      </c>
      <c r="F477" t="s">
        <v>24</v>
      </c>
      <c r="G477" t="s">
        <v>1976</v>
      </c>
      <c r="H477" t="s">
        <v>17</v>
      </c>
      <c r="I477" t="s">
        <v>18</v>
      </c>
      <c r="J477" t="str">
        <f>"4389236681"</f>
        <v>4389236681</v>
      </c>
      <c r="K477" t="s">
        <v>1977</v>
      </c>
      <c r="L477" t="s">
        <v>76</v>
      </c>
      <c r="M477" t="s">
        <v>21</v>
      </c>
    </row>
    <row r="478" spans="1:13" x14ac:dyDescent="0.35">
      <c r="A478" t="str">
        <f>"203-5995"</f>
        <v>203-5995</v>
      </c>
      <c r="B478" t="s">
        <v>1978</v>
      </c>
      <c r="C478" t="str">
        <f>"335"</f>
        <v>335</v>
      </c>
      <c r="D478" t="str">
        <f>"508"</f>
        <v>508</v>
      </c>
      <c r="E478" t="s">
        <v>1979</v>
      </c>
      <c r="F478" t="s">
        <v>24</v>
      </c>
      <c r="G478" t="s">
        <v>1980</v>
      </c>
      <c r="H478" t="s">
        <v>17</v>
      </c>
      <c r="I478" t="s">
        <v>18</v>
      </c>
      <c r="J478" t="str">
        <f>"5142433712"</f>
        <v>5142433712</v>
      </c>
      <c r="K478" t="s">
        <v>1981</v>
      </c>
      <c r="L478" t="s">
        <v>29</v>
      </c>
      <c r="M478" t="s">
        <v>21</v>
      </c>
    </row>
    <row r="479" spans="1:13" x14ac:dyDescent="0.35">
      <c r="A479" t="str">
        <f>"128-0593"</f>
        <v>128-0593</v>
      </c>
      <c r="B479" t="s">
        <v>1982</v>
      </c>
      <c r="C479" t="str">
        <f>"5970"</f>
        <v>5970</v>
      </c>
      <c r="D479" t="str">
        <f>"2"</f>
        <v>2</v>
      </c>
      <c r="E479" t="s">
        <v>1983</v>
      </c>
      <c r="F479" t="s">
        <v>24</v>
      </c>
      <c r="G479" t="s">
        <v>1984</v>
      </c>
      <c r="H479" t="s">
        <v>17</v>
      </c>
      <c r="I479" t="s">
        <v>18</v>
      </c>
      <c r="J479" t="str">
        <f>"4182642021"</f>
        <v>4182642021</v>
      </c>
      <c r="K479" t="s">
        <v>1985</v>
      </c>
      <c r="L479" t="s">
        <v>198</v>
      </c>
      <c r="M479" t="s">
        <v>21</v>
      </c>
    </row>
    <row r="480" spans="1:13" x14ac:dyDescent="0.35">
      <c r="A480" t="str">
        <f>"215-5238"</f>
        <v>215-5238</v>
      </c>
      <c r="B480" t="s">
        <v>1986</v>
      </c>
      <c r="C480" t="str">
        <f>"5657"</f>
        <v>5657</v>
      </c>
      <c r="E480" t="s">
        <v>581</v>
      </c>
      <c r="F480" t="s">
        <v>24</v>
      </c>
      <c r="G480" t="s">
        <v>1987</v>
      </c>
      <c r="H480" t="s">
        <v>17</v>
      </c>
      <c r="I480" t="s">
        <v>18</v>
      </c>
      <c r="J480" t="str">
        <f>"5146992268"</f>
        <v>5146992268</v>
      </c>
      <c r="K480" t="s">
        <v>1988</v>
      </c>
      <c r="L480" t="s">
        <v>608</v>
      </c>
      <c r="M480" t="s">
        <v>21</v>
      </c>
    </row>
    <row r="481" spans="1:13" x14ac:dyDescent="0.35">
      <c r="A481" t="str">
        <f>"215-2531"</f>
        <v>215-2531</v>
      </c>
      <c r="B481" t="s">
        <v>1989</v>
      </c>
      <c r="C481" t="str">
        <f>"10650"</f>
        <v>10650</v>
      </c>
      <c r="D481" t="str">
        <f>"454"</f>
        <v>454</v>
      </c>
      <c r="E481" t="s">
        <v>1990</v>
      </c>
      <c r="F481" t="s">
        <v>24</v>
      </c>
      <c r="G481" t="s">
        <v>1991</v>
      </c>
      <c r="H481" t="s">
        <v>17</v>
      </c>
      <c r="I481" t="s">
        <v>18</v>
      </c>
      <c r="J481" t="str">
        <f>"5142314947"</f>
        <v>5142314947</v>
      </c>
      <c r="K481" t="s">
        <v>1992</v>
      </c>
      <c r="L481" t="s">
        <v>76</v>
      </c>
      <c r="M481" t="s">
        <v>21</v>
      </c>
    </row>
    <row r="482" spans="1:13" x14ac:dyDescent="0.35">
      <c r="A482" t="str">
        <f>"215-2782"</f>
        <v>215-2782</v>
      </c>
      <c r="B482" t="s">
        <v>1993</v>
      </c>
      <c r="C482" t="str">
        <f>"11229"</f>
        <v>11229</v>
      </c>
      <c r="E482" t="s">
        <v>1994</v>
      </c>
      <c r="F482" t="s">
        <v>24</v>
      </c>
      <c r="G482" t="s">
        <v>1995</v>
      </c>
      <c r="H482" t="s">
        <v>17</v>
      </c>
      <c r="I482" t="s">
        <v>18</v>
      </c>
      <c r="J482" t="str">
        <f>"5148345567"</f>
        <v>5148345567</v>
      </c>
      <c r="K482" t="s">
        <v>1996</v>
      </c>
      <c r="L482" t="s">
        <v>27</v>
      </c>
      <c r="M482" t="s">
        <v>21</v>
      </c>
    </row>
    <row r="483" spans="1:13" x14ac:dyDescent="0.35">
      <c r="A483" t="str">
        <f>"138-3388"</f>
        <v>138-3388</v>
      </c>
      <c r="B483" t="s">
        <v>1997</v>
      </c>
      <c r="C483" t="str">
        <f>"3469"</f>
        <v>3469</v>
      </c>
      <c r="D483" t="str">
        <f>"120"</f>
        <v>120</v>
      </c>
      <c r="E483" t="s">
        <v>1998</v>
      </c>
      <c r="F483" t="s">
        <v>40</v>
      </c>
      <c r="G483" t="s">
        <v>1097</v>
      </c>
      <c r="H483" t="s">
        <v>17</v>
      </c>
      <c r="I483" t="s">
        <v>18</v>
      </c>
      <c r="J483" t="str">
        <f>"4387795977"</f>
        <v>4387795977</v>
      </c>
      <c r="K483" t="s">
        <v>1999</v>
      </c>
      <c r="L483" t="s">
        <v>198</v>
      </c>
      <c r="M483" t="s">
        <v>21</v>
      </c>
    </row>
    <row r="484" spans="1:13" x14ac:dyDescent="0.35">
      <c r="A484" t="str">
        <f>"174-6122"</f>
        <v>174-6122</v>
      </c>
      <c r="B484" t="s">
        <v>2000</v>
      </c>
      <c r="C484" t="str">
        <f>"3077"</f>
        <v>3077</v>
      </c>
      <c r="E484" t="s">
        <v>2001</v>
      </c>
      <c r="F484" t="s">
        <v>157</v>
      </c>
      <c r="G484" t="s">
        <v>2002</v>
      </c>
      <c r="H484" t="s">
        <v>17</v>
      </c>
      <c r="I484" t="s">
        <v>18</v>
      </c>
      <c r="J484" t="str">
        <f>"5146540495"</f>
        <v>5146540495</v>
      </c>
      <c r="K484" t="s">
        <v>2003</v>
      </c>
      <c r="L484" t="s">
        <v>319</v>
      </c>
      <c r="M484" t="s">
        <v>21</v>
      </c>
    </row>
    <row r="485" spans="1:13" x14ac:dyDescent="0.35">
      <c r="A485" t="str">
        <f>"178-5713"</f>
        <v>178-5713</v>
      </c>
      <c r="B485" t="s">
        <v>2004</v>
      </c>
      <c r="C485" t="str">
        <f>"11532"</f>
        <v>11532</v>
      </c>
      <c r="E485" t="s">
        <v>2005</v>
      </c>
      <c r="F485" t="s">
        <v>24</v>
      </c>
      <c r="G485" t="s">
        <v>2006</v>
      </c>
      <c r="H485" t="s">
        <v>17</v>
      </c>
      <c r="I485" t="s">
        <v>18</v>
      </c>
      <c r="J485" t="str">
        <f>"4385059809"</f>
        <v>4385059809</v>
      </c>
      <c r="K485" t="s">
        <v>2007</v>
      </c>
      <c r="L485" t="s">
        <v>39</v>
      </c>
      <c r="M485" t="s">
        <v>21</v>
      </c>
    </row>
    <row r="486" spans="1:13" x14ac:dyDescent="0.35">
      <c r="A486" t="str">
        <f>"186-6220"</f>
        <v>186-6220</v>
      </c>
      <c r="B486" t="s">
        <v>2008</v>
      </c>
      <c r="C486" t="str">
        <f>"736"</f>
        <v>736</v>
      </c>
      <c r="E486" t="s">
        <v>2009</v>
      </c>
      <c r="F486" t="s">
        <v>1803</v>
      </c>
      <c r="G486" t="s">
        <v>2010</v>
      </c>
      <c r="H486" t="s">
        <v>17</v>
      </c>
      <c r="I486" t="s">
        <v>18</v>
      </c>
      <c r="J486" t="str">
        <f>"4382209318"</f>
        <v>4382209318</v>
      </c>
      <c r="K486" t="s">
        <v>2011</v>
      </c>
      <c r="L486" t="s">
        <v>193</v>
      </c>
      <c r="M486" t="s">
        <v>21</v>
      </c>
    </row>
    <row r="487" spans="1:13" x14ac:dyDescent="0.35">
      <c r="A487" t="str">
        <f>"203-0653"</f>
        <v>203-0653</v>
      </c>
      <c r="B487" t="s">
        <v>2012</v>
      </c>
      <c r="C487" t="str">
        <f>"36"</f>
        <v>36</v>
      </c>
      <c r="E487" t="s">
        <v>2013</v>
      </c>
      <c r="F487" t="s">
        <v>143</v>
      </c>
      <c r="G487" t="s">
        <v>2014</v>
      </c>
      <c r="H487" t="s">
        <v>17</v>
      </c>
      <c r="I487" t="s">
        <v>18</v>
      </c>
      <c r="J487" t="str">
        <f>"4383504555"</f>
        <v>4383504555</v>
      </c>
      <c r="K487" t="s">
        <v>2015</v>
      </c>
      <c r="L487" t="s">
        <v>39</v>
      </c>
      <c r="M487" t="s">
        <v>21</v>
      </c>
    </row>
    <row r="488" spans="1:13" x14ac:dyDescent="0.35">
      <c r="A488" t="str">
        <f>"203-9379"</f>
        <v>203-9379</v>
      </c>
      <c r="B488" t="s">
        <v>2016</v>
      </c>
      <c r="C488" t="str">
        <f>"4518"</f>
        <v>4518</v>
      </c>
      <c r="E488" t="s">
        <v>1300</v>
      </c>
      <c r="F488" t="s">
        <v>40</v>
      </c>
      <c r="G488" t="s">
        <v>2017</v>
      </c>
      <c r="H488" t="s">
        <v>17</v>
      </c>
      <c r="I488" t="s">
        <v>18</v>
      </c>
      <c r="J488" t="str">
        <f>"4389312870"</f>
        <v>4389312870</v>
      </c>
      <c r="K488" t="s">
        <v>2018</v>
      </c>
      <c r="L488" t="s">
        <v>874</v>
      </c>
      <c r="M488" t="s">
        <v>21</v>
      </c>
    </row>
    <row r="489" spans="1:13" x14ac:dyDescent="0.35">
      <c r="A489" t="str">
        <f>"204-5678"</f>
        <v>204-5678</v>
      </c>
      <c r="B489" t="s">
        <v>2019</v>
      </c>
      <c r="C489" t="str">
        <f>"10365"</f>
        <v>10365</v>
      </c>
      <c r="E489" t="s">
        <v>2020</v>
      </c>
      <c r="F489" t="s">
        <v>24</v>
      </c>
      <c r="G489" t="s">
        <v>2021</v>
      </c>
      <c r="H489" t="s">
        <v>17</v>
      </c>
      <c r="I489" t="s">
        <v>18</v>
      </c>
      <c r="J489" t="str">
        <f>"5142496449"</f>
        <v>5142496449</v>
      </c>
      <c r="K489" t="s">
        <v>2022</v>
      </c>
      <c r="L489" t="s">
        <v>203</v>
      </c>
      <c r="M489" t="s">
        <v>21</v>
      </c>
    </row>
    <row r="490" spans="1:13" x14ac:dyDescent="0.35">
      <c r="A490" t="str">
        <f>"207-0793"</f>
        <v>207-0793</v>
      </c>
      <c r="B490" t="s">
        <v>2023</v>
      </c>
      <c r="C490" t="str">
        <f>"7348"</f>
        <v>7348</v>
      </c>
      <c r="E490" t="s">
        <v>603</v>
      </c>
      <c r="F490" t="s">
        <v>24</v>
      </c>
      <c r="G490" t="s">
        <v>2024</v>
      </c>
      <c r="H490" t="s">
        <v>17</v>
      </c>
      <c r="I490" t="s">
        <v>18</v>
      </c>
      <c r="J490" t="str">
        <f>"5148131424"</f>
        <v>5148131424</v>
      </c>
      <c r="K490" t="s">
        <v>2025</v>
      </c>
      <c r="L490" t="s">
        <v>27</v>
      </c>
      <c r="M490" t="s">
        <v>21</v>
      </c>
    </row>
    <row r="491" spans="1:13" x14ac:dyDescent="0.35">
      <c r="A491" t="str">
        <f>"208-4435"</f>
        <v>208-4435</v>
      </c>
      <c r="B491" t="s">
        <v>2026</v>
      </c>
      <c r="C491" t="str">
        <f>"518"</f>
        <v>518</v>
      </c>
      <c r="E491" t="s">
        <v>1788</v>
      </c>
      <c r="F491" t="s">
        <v>24</v>
      </c>
      <c r="G491" t="s">
        <v>2027</v>
      </c>
      <c r="H491" t="s">
        <v>17</v>
      </c>
      <c r="I491" t="s">
        <v>18</v>
      </c>
      <c r="J491" t="str">
        <f>"4388244428"</f>
        <v>4388244428</v>
      </c>
      <c r="K491" t="s">
        <v>2028</v>
      </c>
      <c r="L491" t="s">
        <v>203</v>
      </c>
      <c r="M491" t="s">
        <v>21</v>
      </c>
    </row>
    <row r="492" spans="1:13" x14ac:dyDescent="0.35">
      <c r="A492" t="str">
        <f>"208-9033"</f>
        <v>208-9033</v>
      </c>
      <c r="B492" t="s">
        <v>2029</v>
      </c>
      <c r="C492" t="str">
        <f>"2216"</f>
        <v>2216</v>
      </c>
      <c r="E492" t="s">
        <v>2030</v>
      </c>
      <c r="F492" t="s">
        <v>2031</v>
      </c>
      <c r="G492" t="s">
        <v>2032</v>
      </c>
      <c r="H492" t="s">
        <v>17</v>
      </c>
      <c r="I492" t="s">
        <v>18</v>
      </c>
      <c r="J492" t="str">
        <f>"5149664649"</f>
        <v>5149664649</v>
      </c>
      <c r="K492" t="s">
        <v>2033</v>
      </c>
      <c r="L492" t="s">
        <v>168</v>
      </c>
      <c r="M492" t="s">
        <v>21</v>
      </c>
    </row>
    <row r="493" spans="1:13" x14ac:dyDescent="0.35">
      <c r="A493" t="str">
        <f>"212-8263"</f>
        <v>212-8263</v>
      </c>
      <c r="B493" t="s">
        <v>2034</v>
      </c>
      <c r="C493" t="str">
        <f>"291"</f>
        <v>291</v>
      </c>
      <c r="E493" t="s">
        <v>144</v>
      </c>
      <c r="F493" t="s">
        <v>143</v>
      </c>
      <c r="G493" t="s">
        <v>2035</v>
      </c>
      <c r="H493" t="s">
        <v>17</v>
      </c>
      <c r="I493" t="s">
        <v>18</v>
      </c>
      <c r="J493" t="str">
        <f>"4382265868"</f>
        <v>4382265868</v>
      </c>
      <c r="K493" t="s">
        <v>2036</v>
      </c>
      <c r="L493" t="s">
        <v>39</v>
      </c>
      <c r="M493" t="s">
        <v>21</v>
      </c>
    </row>
    <row r="494" spans="1:13" x14ac:dyDescent="0.35">
      <c r="A494" t="str">
        <f>"213-6995"</f>
        <v>213-6995</v>
      </c>
      <c r="B494" t="s">
        <v>2037</v>
      </c>
      <c r="C494" t="str">
        <f>"874"</f>
        <v>874</v>
      </c>
      <c r="E494" t="s">
        <v>2038</v>
      </c>
      <c r="F494" t="s">
        <v>54</v>
      </c>
      <c r="G494" t="s">
        <v>2039</v>
      </c>
      <c r="H494" t="s">
        <v>17</v>
      </c>
      <c r="I494" t="s">
        <v>18</v>
      </c>
      <c r="J494" t="str">
        <f>"5146254078"</f>
        <v>5146254078</v>
      </c>
      <c r="K494" t="s">
        <v>2040</v>
      </c>
      <c r="L494" t="s">
        <v>76</v>
      </c>
      <c r="M494" t="s">
        <v>21</v>
      </c>
    </row>
    <row r="495" spans="1:13" x14ac:dyDescent="0.35">
      <c r="A495" t="str">
        <f>"213-7982"</f>
        <v>213-7982</v>
      </c>
      <c r="B495" t="s">
        <v>2041</v>
      </c>
      <c r="C495" t="str">
        <f>"2644"</f>
        <v>2644</v>
      </c>
      <c r="E495" t="s">
        <v>2042</v>
      </c>
      <c r="F495" t="s">
        <v>430</v>
      </c>
      <c r="G495" t="s">
        <v>2043</v>
      </c>
      <c r="H495" t="s">
        <v>17</v>
      </c>
      <c r="I495" t="s">
        <v>18</v>
      </c>
      <c r="J495" t="str">
        <f>"5142474052"</f>
        <v>5142474052</v>
      </c>
      <c r="K495" t="s">
        <v>2044</v>
      </c>
      <c r="L495" t="s">
        <v>39</v>
      </c>
      <c r="M495" t="s">
        <v>21</v>
      </c>
    </row>
    <row r="496" spans="1:13" x14ac:dyDescent="0.35">
      <c r="A496" t="str">
        <f>"216-3575"</f>
        <v>216-3575</v>
      </c>
      <c r="B496" t="s">
        <v>2045</v>
      </c>
      <c r="C496" t="str">
        <f>"5053"</f>
        <v>5053</v>
      </c>
      <c r="D496" t="str">
        <f>"A"</f>
        <v>A</v>
      </c>
      <c r="E496" t="s">
        <v>2046</v>
      </c>
      <c r="F496" t="s">
        <v>24</v>
      </c>
      <c r="G496" t="s">
        <v>2047</v>
      </c>
      <c r="H496" t="s">
        <v>17</v>
      </c>
      <c r="I496" t="s">
        <v>18</v>
      </c>
      <c r="J496" t="str">
        <f>"5143602719"</f>
        <v>5143602719</v>
      </c>
      <c r="K496" t="s">
        <v>2048</v>
      </c>
      <c r="L496" t="s">
        <v>137</v>
      </c>
      <c r="M496" t="s">
        <v>21</v>
      </c>
    </row>
    <row r="497" spans="1:13" x14ac:dyDescent="0.35">
      <c r="A497" t="str">
        <f>"216-5937"</f>
        <v>216-5937</v>
      </c>
      <c r="B497" t="s">
        <v>2049</v>
      </c>
      <c r="C497" t="str">
        <f>"920"</f>
        <v>920</v>
      </c>
      <c r="D497" t="str">
        <f>"102"</f>
        <v>102</v>
      </c>
      <c r="E497" t="s">
        <v>2050</v>
      </c>
      <c r="F497" t="s">
        <v>24</v>
      </c>
      <c r="G497" t="s">
        <v>2051</v>
      </c>
      <c r="H497" t="s">
        <v>17</v>
      </c>
      <c r="I497" t="s">
        <v>18</v>
      </c>
      <c r="J497" t="str">
        <f>"4382209454"</f>
        <v>4382209454</v>
      </c>
      <c r="K497" t="s">
        <v>2052</v>
      </c>
      <c r="L497" t="s">
        <v>76</v>
      </c>
      <c r="M497" t="s">
        <v>21</v>
      </c>
    </row>
    <row r="498" spans="1:13" x14ac:dyDescent="0.35">
      <c r="A498" t="str">
        <f>"217-0791"</f>
        <v>217-0791</v>
      </c>
      <c r="B498" t="s">
        <v>2055</v>
      </c>
      <c r="C498" t="str">
        <f>"6362"</f>
        <v>6362</v>
      </c>
      <c r="E498" t="s">
        <v>2056</v>
      </c>
      <c r="F498" t="s">
        <v>24</v>
      </c>
      <c r="G498" t="s">
        <v>2057</v>
      </c>
      <c r="H498" t="s">
        <v>17</v>
      </c>
      <c r="I498" t="s">
        <v>18</v>
      </c>
      <c r="J498" t="str">
        <f>"5145822707"</f>
        <v>5145822707</v>
      </c>
      <c r="K498" t="s">
        <v>2058</v>
      </c>
      <c r="L498" t="s">
        <v>86</v>
      </c>
      <c r="M498" t="s">
        <v>21</v>
      </c>
    </row>
    <row r="499" spans="1:13" x14ac:dyDescent="0.35">
      <c r="A499" t="str">
        <f>"218-0604"</f>
        <v>218-0604</v>
      </c>
      <c r="B499" t="s">
        <v>2059</v>
      </c>
      <c r="C499" t="str">
        <f>"1407"</f>
        <v>1407</v>
      </c>
      <c r="E499" t="s">
        <v>2060</v>
      </c>
      <c r="F499" t="s">
        <v>54</v>
      </c>
      <c r="G499" t="s">
        <v>2061</v>
      </c>
      <c r="H499" t="s">
        <v>17</v>
      </c>
      <c r="I499" t="s">
        <v>18</v>
      </c>
      <c r="J499" t="str">
        <f>"4385242076"</f>
        <v>4385242076</v>
      </c>
      <c r="K499" t="s">
        <v>2062</v>
      </c>
      <c r="L499" t="s">
        <v>220</v>
      </c>
      <c r="M499" t="s">
        <v>21</v>
      </c>
    </row>
    <row r="500" spans="1:13" x14ac:dyDescent="0.35">
      <c r="A500" t="str">
        <f>"218-1839"</f>
        <v>218-1839</v>
      </c>
      <c r="B500" t="s">
        <v>2064</v>
      </c>
      <c r="C500" t="str">
        <f>"4960"</f>
        <v>4960</v>
      </c>
      <c r="D500" t="str">
        <f>"208"</f>
        <v>208</v>
      </c>
      <c r="E500" t="s">
        <v>2065</v>
      </c>
      <c r="F500" t="s">
        <v>24</v>
      </c>
      <c r="G500" t="s">
        <v>2066</v>
      </c>
      <c r="H500" t="s">
        <v>17</v>
      </c>
      <c r="I500" t="s">
        <v>18</v>
      </c>
      <c r="J500" t="str">
        <f>"4385011530"</f>
        <v>4385011530</v>
      </c>
      <c r="K500" t="s">
        <v>2067</v>
      </c>
      <c r="L500" t="s">
        <v>869</v>
      </c>
      <c r="M500" t="s">
        <v>21</v>
      </c>
    </row>
    <row r="501" spans="1:13" x14ac:dyDescent="0.35">
      <c r="A501" t="str">
        <f>"218-2486"</f>
        <v>218-2486</v>
      </c>
      <c r="B501" t="s">
        <v>2068</v>
      </c>
      <c r="C501" t="str">
        <f>"2061"</f>
        <v>2061</v>
      </c>
      <c r="D501" t="str">
        <f>"4"</f>
        <v>4</v>
      </c>
      <c r="E501" t="s">
        <v>2069</v>
      </c>
      <c r="F501" t="s">
        <v>24</v>
      </c>
      <c r="G501" t="s">
        <v>2070</v>
      </c>
      <c r="H501" t="s">
        <v>17</v>
      </c>
      <c r="I501" t="s">
        <v>18</v>
      </c>
      <c r="J501" t="str">
        <f>"4384685325"</f>
        <v>4384685325</v>
      </c>
      <c r="K501" t="s">
        <v>2071</v>
      </c>
      <c r="L501" t="s">
        <v>220</v>
      </c>
      <c r="M501" t="s">
        <v>21</v>
      </c>
    </row>
    <row r="502" spans="1:13" x14ac:dyDescent="0.35">
      <c r="A502" t="str">
        <f>"218-6420"</f>
        <v>218-6420</v>
      </c>
      <c r="B502" t="s">
        <v>2072</v>
      </c>
      <c r="C502" t="str">
        <f>"11506"</f>
        <v>11506</v>
      </c>
      <c r="E502" t="s">
        <v>2073</v>
      </c>
      <c r="F502" t="s">
        <v>24</v>
      </c>
      <c r="G502" t="s">
        <v>2074</v>
      </c>
      <c r="H502" t="s">
        <v>17</v>
      </c>
      <c r="I502" t="s">
        <v>18</v>
      </c>
      <c r="J502" t="str">
        <f>"4399980659"</f>
        <v>4399980659</v>
      </c>
      <c r="K502" t="s">
        <v>2075</v>
      </c>
      <c r="L502" t="s">
        <v>193</v>
      </c>
      <c r="M502" t="s">
        <v>21</v>
      </c>
    </row>
    <row r="503" spans="1:13" x14ac:dyDescent="0.35">
      <c r="A503" t="str">
        <f>"617-7063"</f>
        <v>617-7063</v>
      </c>
      <c r="B503" t="s">
        <v>2076</v>
      </c>
      <c r="C503" t="str">
        <f>"256"</f>
        <v>256</v>
      </c>
      <c r="E503" t="s">
        <v>2077</v>
      </c>
      <c r="F503" t="s">
        <v>24</v>
      </c>
      <c r="G503" t="s">
        <v>2078</v>
      </c>
      <c r="H503" t="s">
        <v>17</v>
      </c>
      <c r="I503" t="s">
        <v>18</v>
      </c>
      <c r="J503" t="str">
        <f>"5147260825"</f>
        <v>5147260825</v>
      </c>
      <c r="K503" t="s">
        <v>2079</v>
      </c>
      <c r="L503" t="s">
        <v>86</v>
      </c>
      <c r="M503" t="s">
        <v>21</v>
      </c>
    </row>
    <row r="504" spans="1:13" x14ac:dyDescent="0.35">
      <c r="A504" t="str">
        <f>"617-7172"</f>
        <v>617-7172</v>
      </c>
      <c r="B504" t="s">
        <v>2080</v>
      </c>
      <c r="C504" t="str">
        <f>"7397"</f>
        <v>7397</v>
      </c>
      <c r="E504" t="s">
        <v>2081</v>
      </c>
      <c r="F504" t="s">
        <v>24</v>
      </c>
      <c r="G504" t="s">
        <v>2082</v>
      </c>
      <c r="H504" t="s">
        <v>17</v>
      </c>
      <c r="I504" t="s">
        <v>18</v>
      </c>
      <c r="J504" t="str">
        <f>"4382232000"</f>
        <v>4382232000</v>
      </c>
      <c r="K504" t="s">
        <v>2083</v>
      </c>
      <c r="L504" t="s">
        <v>76</v>
      </c>
      <c r="M504" t="s">
        <v>21</v>
      </c>
    </row>
    <row r="505" spans="1:13" x14ac:dyDescent="0.35">
      <c r="A505" t="str">
        <f>"617-7177"</f>
        <v>617-7177</v>
      </c>
      <c r="B505" t="s">
        <v>2084</v>
      </c>
      <c r="C505" t="str">
        <f>"7397"</f>
        <v>7397</v>
      </c>
      <c r="E505" t="s">
        <v>2081</v>
      </c>
      <c r="F505" t="s">
        <v>24</v>
      </c>
      <c r="G505" t="s">
        <v>2082</v>
      </c>
      <c r="H505" t="s">
        <v>17</v>
      </c>
      <c r="I505" t="s">
        <v>18</v>
      </c>
      <c r="J505" t="str">
        <f>"4382252444"</f>
        <v>4382252444</v>
      </c>
      <c r="K505" t="s">
        <v>2085</v>
      </c>
      <c r="L505" t="s">
        <v>168</v>
      </c>
      <c r="M505" t="s">
        <v>21</v>
      </c>
    </row>
    <row r="506" spans="1:13" x14ac:dyDescent="0.35">
      <c r="A506" t="str">
        <f>"617-7543"</f>
        <v>617-7543</v>
      </c>
      <c r="B506" t="s">
        <v>2086</v>
      </c>
      <c r="C506" t="str">
        <f>"2918"</f>
        <v>2918</v>
      </c>
      <c r="E506" t="s">
        <v>2087</v>
      </c>
      <c r="F506" t="s">
        <v>157</v>
      </c>
      <c r="G506" t="s">
        <v>2088</v>
      </c>
      <c r="H506" t="s">
        <v>17</v>
      </c>
      <c r="I506" t="s">
        <v>18</v>
      </c>
      <c r="J506" t="str">
        <f>"4383577090"</f>
        <v>4383577090</v>
      </c>
      <c r="K506" t="s">
        <v>2089</v>
      </c>
      <c r="L506" t="s">
        <v>137</v>
      </c>
      <c r="M506" t="s">
        <v>21</v>
      </c>
    </row>
    <row r="507" spans="1:13" x14ac:dyDescent="0.35">
      <c r="A507" t="str">
        <f>"184-3029"</f>
        <v>184-3029</v>
      </c>
      <c r="B507" t="s">
        <v>2090</v>
      </c>
      <c r="C507" t="str">
        <f>"8065"</f>
        <v>8065</v>
      </c>
      <c r="E507" t="s">
        <v>2091</v>
      </c>
      <c r="F507" t="s">
        <v>24</v>
      </c>
      <c r="G507" t="s">
        <v>2092</v>
      </c>
      <c r="H507" t="s">
        <v>17</v>
      </c>
      <c r="I507" t="s">
        <v>18</v>
      </c>
      <c r="J507" t="str">
        <f>"5147149558"</f>
        <v>5147149558</v>
      </c>
      <c r="K507" t="s">
        <v>2093</v>
      </c>
      <c r="L507" t="s">
        <v>534</v>
      </c>
      <c r="M507" t="s">
        <v>21</v>
      </c>
    </row>
    <row r="508" spans="1:13" x14ac:dyDescent="0.35">
      <c r="A508" t="str">
        <f>"615-0648"</f>
        <v>615-0648</v>
      </c>
      <c r="B508" t="s">
        <v>2095</v>
      </c>
      <c r="C508" t="str">
        <f>"9324"</f>
        <v>9324</v>
      </c>
      <c r="D508" t="str">
        <f>"A"</f>
        <v>A</v>
      </c>
      <c r="E508" t="s">
        <v>2096</v>
      </c>
      <c r="F508" t="s">
        <v>24</v>
      </c>
      <c r="G508" t="s">
        <v>2097</v>
      </c>
      <c r="H508" t="s">
        <v>17</v>
      </c>
      <c r="I508" t="s">
        <v>18</v>
      </c>
      <c r="J508" t="str">
        <f>"4389784657"</f>
        <v>4389784657</v>
      </c>
      <c r="K508" t="s">
        <v>2098</v>
      </c>
      <c r="L508" t="s">
        <v>27</v>
      </c>
      <c r="M508" t="s">
        <v>21</v>
      </c>
    </row>
    <row r="509" spans="1:13" x14ac:dyDescent="0.35">
      <c r="A509" t="str">
        <f>"935-8565"</f>
        <v>935-8565</v>
      </c>
      <c r="B509" t="s">
        <v>2099</v>
      </c>
      <c r="C509" t="str">
        <f>"2090"</f>
        <v>2090</v>
      </c>
      <c r="E509" t="s">
        <v>2100</v>
      </c>
      <c r="F509" t="s">
        <v>24</v>
      </c>
      <c r="G509" t="s">
        <v>2101</v>
      </c>
      <c r="H509" t="s">
        <v>17</v>
      </c>
      <c r="I509" t="s">
        <v>18</v>
      </c>
      <c r="J509" t="str">
        <f>"5148136258"</f>
        <v>5148136258</v>
      </c>
      <c r="K509" t="s">
        <v>2102</v>
      </c>
      <c r="L509" t="s">
        <v>27</v>
      </c>
      <c r="M509" t="s">
        <v>21</v>
      </c>
    </row>
    <row r="510" spans="1:13" x14ac:dyDescent="0.35">
      <c r="A510" t="str">
        <f>"219-0501"</f>
        <v>219-0501</v>
      </c>
      <c r="B510" t="s">
        <v>2103</v>
      </c>
      <c r="C510" t="str">
        <f>"1592"</f>
        <v>1592</v>
      </c>
      <c r="E510" t="s">
        <v>2104</v>
      </c>
      <c r="F510" t="s">
        <v>24</v>
      </c>
      <c r="G510" t="s">
        <v>2105</v>
      </c>
      <c r="H510" t="s">
        <v>17</v>
      </c>
      <c r="I510" t="s">
        <v>18</v>
      </c>
      <c r="J510" t="str">
        <f>"4383412757"</f>
        <v>4383412757</v>
      </c>
      <c r="K510" t="s">
        <v>2106</v>
      </c>
      <c r="L510" t="s">
        <v>137</v>
      </c>
      <c r="M510" t="s">
        <v>21</v>
      </c>
    </row>
    <row r="511" spans="1:13" x14ac:dyDescent="0.35">
      <c r="A511" t="str">
        <f>"618-4360"</f>
        <v>618-4360</v>
      </c>
      <c r="B511" t="s">
        <v>2107</v>
      </c>
      <c r="C511" t="str">
        <f>"6445"</f>
        <v>6445</v>
      </c>
      <c r="E511" t="s">
        <v>642</v>
      </c>
      <c r="F511" t="s">
        <v>24</v>
      </c>
      <c r="G511" t="s">
        <v>2108</v>
      </c>
      <c r="H511" t="s">
        <v>17</v>
      </c>
      <c r="I511" t="s">
        <v>18</v>
      </c>
      <c r="J511" t="str">
        <f>"4389797965"</f>
        <v>4389797965</v>
      </c>
      <c r="K511" t="s">
        <v>2109</v>
      </c>
      <c r="L511" t="s">
        <v>27</v>
      </c>
      <c r="M511" t="s">
        <v>21</v>
      </c>
    </row>
    <row r="512" spans="1:13" x14ac:dyDescent="0.35">
      <c r="A512" t="str">
        <f>"167-7299"</f>
        <v>167-7299</v>
      </c>
      <c r="B512" t="s">
        <v>2110</v>
      </c>
      <c r="C512" t="str">
        <f>"4820"</f>
        <v>4820</v>
      </c>
      <c r="D512" t="str">
        <f>"418"</f>
        <v>418</v>
      </c>
      <c r="E512" t="s">
        <v>1595</v>
      </c>
      <c r="F512" t="s">
        <v>24</v>
      </c>
      <c r="G512" t="s">
        <v>2111</v>
      </c>
      <c r="H512" t="s">
        <v>17</v>
      </c>
      <c r="I512" t="s">
        <v>18</v>
      </c>
      <c r="J512" t="str">
        <f>"4388309677"</f>
        <v>4388309677</v>
      </c>
      <c r="K512" t="s">
        <v>2112</v>
      </c>
      <c r="L512" t="s">
        <v>168</v>
      </c>
      <c r="M512" t="s">
        <v>21</v>
      </c>
    </row>
    <row r="513" spans="1:13" x14ac:dyDescent="0.35">
      <c r="A513" t="str">
        <f>"205-1712"</f>
        <v>205-1712</v>
      </c>
      <c r="B513" t="s">
        <v>2113</v>
      </c>
      <c r="C513" t="str">
        <f>"6151"</f>
        <v>6151</v>
      </c>
      <c r="E513" t="s">
        <v>2114</v>
      </c>
      <c r="F513" t="s">
        <v>54</v>
      </c>
      <c r="G513" t="s">
        <v>2115</v>
      </c>
      <c r="H513" t="s">
        <v>17</v>
      </c>
      <c r="I513" t="s">
        <v>18</v>
      </c>
      <c r="J513" t="str">
        <f>"5142386967"</f>
        <v>5142386967</v>
      </c>
      <c r="K513" t="s">
        <v>2116</v>
      </c>
      <c r="L513" t="s">
        <v>76</v>
      </c>
      <c r="M513" t="s">
        <v>21</v>
      </c>
    </row>
    <row r="514" spans="1:13" x14ac:dyDescent="0.35">
      <c r="A514" t="str">
        <f>"206-6077"</f>
        <v>206-6077</v>
      </c>
      <c r="B514" t="s">
        <v>2117</v>
      </c>
      <c r="C514" t="str">
        <f>"7284"</f>
        <v>7284</v>
      </c>
      <c r="E514" t="s">
        <v>2118</v>
      </c>
      <c r="F514" t="s">
        <v>24</v>
      </c>
      <c r="G514" t="s">
        <v>2119</v>
      </c>
      <c r="H514" t="s">
        <v>17</v>
      </c>
      <c r="I514" t="s">
        <v>18</v>
      </c>
      <c r="J514" t="str">
        <f>"4383769361"</f>
        <v>4383769361</v>
      </c>
      <c r="K514" t="s">
        <v>2120</v>
      </c>
      <c r="L514" t="s">
        <v>874</v>
      </c>
      <c r="M514" t="s">
        <v>21</v>
      </c>
    </row>
    <row r="515" spans="1:13" x14ac:dyDescent="0.35">
      <c r="A515" t="str">
        <f>"214-9854"</f>
        <v>214-9854</v>
      </c>
      <c r="B515" t="s">
        <v>2121</v>
      </c>
      <c r="C515" t="str">
        <f>"5546"</f>
        <v>5546</v>
      </c>
      <c r="E515" t="s">
        <v>1767</v>
      </c>
      <c r="F515" t="s">
        <v>24</v>
      </c>
      <c r="G515" t="s">
        <v>2122</v>
      </c>
      <c r="H515" t="s">
        <v>17</v>
      </c>
      <c r="I515" t="s">
        <v>18</v>
      </c>
      <c r="J515" t="str">
        <f>"5146626913"</f>
        <v>5146626913</v>
      </c>
      <c r="K515" t="s">
        <v>2123</v>
      </c>
      <c r="L515" t="s">
        <v>76</v>
      </c>
      <c r="M515" t="s">
        <v>21</v>
      </c>
    </row>
    <row r="516" spans="1:13" x14ac:dyDescent="0.35">
      <c r="A516" t="str">
        <f>"217-3164"</f>
        <v>217-3164</v>
      </c>
      <c r="B516" t="s">
        <v>2124</v>
      </c>
      <c r="C516" t="str">
        <f>"4625"</f>
        <v>4625</v>
      </c>
      <c r="E516" t="s">
        <v>2125</v>
      </c>
      <c r="F516" t="s">
        <v>24</v>
      </c>
      <c r="G516" t="s">
        <v>2126</v>
      </c>
      <c r="H516" t="s">
        <v>17</v>
      </c>
      <c r="I516" t="s">
        <v>18</v>
      </c>
      <c r="J516" t="str">
        <f>"4388277780"</f>
        <v>4388277780</v>
      </c>
      <c r="K516" t="s">
        <v>2127</v>
      </c>
      <c r="L516" t="s">
        <v>76</v>
      </c>
      <c r="M516" t="s">
        <v>21</v>
      </c>
    </row>
    <row r="517" spans="1:13" x14ac:dyDescent="0.35">
      <c r="A517" t="str">
        <f>"217-8954"</f>
        <v>217-8954</v>
      </c>
      <c r="B517" t="s">
        <v>2128</v>
      </c>
      <c r="C517" t="str">
        <f>"8386"</f>
        <v>8386</v>
      </c>
      <c r="E517" t="s">
        <v>2129</v>
      </c>
      <c r="F517" t="s">
        <v>24</v>
      </c>
      <c r="G517" t="s">
        <v>2130</v>
      </c>
      <c r="H517" t="s">
        <v>17</v>
      </c>
      <c r="I517" t="s">
        <v>18</v>
      </c>
      <c r="J517" t="str">
        <f>"4382269481"</f>
        <v>4382269481</v>
      </c>
      <c r="K517" t="s">
        <v>2131</v>
      </c>
      <c r="L517" t="s">
        <v>466</v>
      </c>
      <c r="M517" t="s">
        <v>21</v>
      </c>
    </row>
    <row r="518" spans="1:13" x14ac:dyDescent="0.35">
      <c r="A518" t="str">
        <f>"217-9318"</f>
        <v>217-9318</v>
      </c>
      <c r="B518" t="s">
        <v>2132</v>
      </c>
      <c r="C518" t="str">
        <f>"6280"</f>
        <v>6280</v>
      </c>
      <c r="E518" t="s">
        <v>2133</v>
      </c>
      <c r="F518" t="s">
        <v>24</v>
      </c>
      <c r="G518" t="s">
        <v>2134</v>
      </c>
      <c r="H518" t="s">
        <v>17</v>
      </c>
      <c r="I518" t="s">
        <v>18</v>
      </c>
      <c r="J518" t="str">
        <f>"5148026684"</f>
        <v>5148026684</v>
      </c>
      <c r="K518" t="s">
        <v>2135</v>
      </c>
      <c r="L518" t="s">
        <v>588</v>
      </c>
      <c r="M518" t="s">
        <v>21</v>
      </c>
    </row>
    <row r="519" spans="1:13" x14ac:dyDescent="0.35">
      <c r="A519" t="str">
        <f>"218-8739"</f>
        <v>218-8739</v>
      </c>
      <c r="B519" t="s">
        <v>2137</v>
      </c>
      <c r="C519" t="str">
        <f>"9805"</f>
        <v>9805</v>
      </c>
      <c r="D519" t="str">
        <f>"02"</f>
        <v>02</v>
      </c>
      <c r="E519" t="s">
        <v>2138</v>
      </c>
      <c r="F519" t="s">
        <v>24</v>
      </c>
      <c r="G519" t="s">
        <v>2139</v>
      </c>
      <c r="H519" t="s">
        <v>17</v>
      </c>
      <c r="I519" t="s">
        <v>18</v>
      </c>
      <c r="J519" t="str">
        <f>"4388825790"</f>
        <v>4388825790</v>
      </c>
      <c r="K519" t="s">
        <v>2140</v>
      </c>
      <c r="L519" t="s">
        <v>86</v>
      </c>
      <c r="M519" t="s">
        <v>21</v>
      </c>
    </row>
    <row r="520" spans="1:13" x14ac:dyDescent="0.35">
      <c r="A520" t="str">
        <f>"618-1357"</f>
        <v>618-1357</v>
      </c>
      <c r="B520" t="s">
        <v>2141</v>
      </c>
      <c r="C520" t="str">
        <f>"1770"</f>
        <v>1770</v>
      </c>
      <c r="D520" t="str">
        <f>"4"</f>
        <v>4</v>
      </c>
      <c r="E520" t="s">
        <v>2142</v>
      </c>
      <c r="F520" t="s">
        <v>24</v>
      </c>
      <c r="G520" t="s">
        <v>2143</v>
      </c>
      <c r="H520" t="s">
        <v>17</v>
      </c>
      <c r="I520" t="s">
        <v>18</v>
      </c>
      <c r="J520" t="str">
        <f>"4389698638"</f>
        <v>4389698638</v>
      </c>
      <c r="K520" t="s">
        <v>2144</v>
      </c>
      <c r="L520" t="s">
        <v>193</v>
      </c>
      <c r="M520" t="s">
        <v>21</v>
      </c>
    </row>
    <row r="521" spans="1:13" x14ac:dyDescent="0.35">
      <c r="A521" t="str">
        <f>"618-2751"</f>
        <v>618-2751</v>
      </c>
      <c r="B521" t="s">
        <v>2145</v>
      </c>
      <c r="C521" t="str">
        <f>"2628"</f>
        <v>2628</v>
      </c>
      <c r="E521" t="s">
        <v>1832</v>
      </c>
      <c r="F521" t="s">
        <v>24</v>
      </c>
      <c r="G521" t="s">
        <v>2146</v>
      </c>
      <c r="H521" t="s">
        <v>17</v>
      </c>
      <c r="I521" t="s">
        <v>18</v>
      </c>
      <c r="J521" t="str">
        <f>"4382204622"</f>
        <v>4382204622</v>
      </c>
      <c r="K521" t="s">
        <v>2147</v>
      </c>
      <c r="L521" t="s">
        <v>20</v>
      </c>
      <c r="M521" t="s">
        <v>21</v>
      </c>
    </row>
    <row r="522" spans="1:13" x14ac:dyDescent="0.35">
      <c r="A522" t="str">
        <f>"219-9068"</f>
        <v>219-9068</v>
      </c>
      <c r="B522" t="s">
        <v>2150</v>
      </c>
      <c r="C522" t="str">
        <f>"5700"</f>
        <v>5700</v>
      </c>
      <c r="D522" t="str">
        <f>"405"</f>
        <v>405</v>
      </c>
      <c r="E522" t="s">
        <v>2151</v>
      </c>
      <c r="F522" t="s">
        <v>322</v>
      </c>
      <c r="G522" t="s">
        <v>2152</v>
      </c>
      <c r="H522" t="s">
        <v>17</v>
      </c>
      <c r="I522" t="s">
        <v>18</v>
      </c>
      <c r="J522" t="str">
        <f>"5146371471"</f>
        <v>5146371471</v>
      </c>
      <c r="K522" t="s">
        <v>2153</v>
      </c>
      <c r="L522" t="s">
        <v>29</v>
      </c>
      <c r="M522" t="s">
        <v>21</v>
      </c>
    </row>
    <row r="523" spans="1:13" x14ac:dyDescent="0.35">
      <c r="A523" t="str">
        <f>"219-9070"</f>
        <v>219-9070</v>
      </c>
      <c r="B523" t="s">
        <v>2154</v>
      </c>
      <c r="C523" t="str">
        <f>"1470"</f>
        <v>1470</v>
      </c>
      <c r="D523" t="str">
        <f>"50"</f>
        <v>50</v>
      </c>
      <c r="E523" t="s">
        <v>2155</v>
      </c>
      <c r="F523" t="s">
        <v>2156</v>
      </c>
      <c r="G523" t="s">
        <v>2157</v>
      </c>
      <c r="H523" t="s">
        <v>17</v>
      </c>
      <c r="I523" t="s">
        <v>18</v>
      </c>
      <c r="J523" t="str">
        <f>"5143842594"</f>
        <v>5143842594</v>
      </c>
      <c r="K523" t="s">
        <v>2158</v>
      </c>
      <c r="L523" t="s">
        <v>29</v>
      </c>
      <c r="M523" t="s">
        <v>21</v>
      </c>
    </row>
    <row r="524" spans="1:13" x14ac:dyDescent="0.35">
      <c r="A524" t="str">
        <f>"219-9073"</f>
        <v>219-9073</v>
      </c>
      <c r="B524" t="s">
        <v>2159</v>
      </c>
      <c r="C524" t="str">
        <f>"557"</f>
        <v>557</v>
      </c>
      <c r="E524" t="s">
        <v>2160</v>
      </c>
      <c r="F524" t="s">
        <v>2161</v>
      </c>
      <c r="G524" t="s">
        <v>2162</v>
      </c>
      <c r="H524" t="s">
        <v>17</v>
      </c>
      <c r="I524" t="s">
        <v>18</v>
      </c>
      <c r="J524" t="str">
        <f>"8199812311"</f>
        <v>8199812311</v>
      </c>
      <c r="K524" t="s">
        <v>2163</v>
      </c>
      <c r="L524" t="s">
        <v>29</v>
      </c>
      <c r="M524" t="s">
        <v>21</v>
      </c>
    </row>
    <row r="525" spans="1:13" x14ac:dyDescent="0.35">
      <c r="A525" t="str">
        <f>"219-9076"</f>
        <v>219-9076</v>
      </c>
      <c r="B525" t="s">
        <v>2164</v>
      </c>
      <c r="C525" t="str">
        <f>"1100"</f>
        <v>1100</v>
      </c>
      <c r="E525" t="s">
        <v>2165</v>
      </c>
      <c r="F525" t="s">
        <v>2166</v>
      </c>
      <c r="G525" t="s">
        <v>2167</v>
      </c>
      <c r="H525" t="s">
        <v>17</v>
      </c>
      <c r="I525" t="s">
        <v>18</v>
      </c>
      <c r="J525" t="str">
        <f>"4507250742"</f>
        <v>4507250742</v>
      </c>
      <c r="K525" t="s">
        <v>2168</v>
      </c>
      <c r="L525" t="s">
        <v>29</v>
      </c>
      <c r="M525" t="s">
        <v>21</v>
      </c>
    </row>
    <row r="526" spans="1:13" x14ac:dyDescent="0.35">
      <c r="A526" t="str">
        <f>"219-9079"</f>
        <v>219-9079</v>
      </c>
      <c r="B526" t="s">
        <v>2169</v>
      </c>
      <c r="C526" t="str">
        <f>"1010"</f>
        <v>1010</v>
      </c>
      <c r="D526" t="str">
        <f>"4"</f>
        <v>4</v>
      </c>
      <c r="E526" t="s">
        <v>2170</v>
      </c>
      <c r="F526" t="s">
        <v>54</v>
      </c>
      <c r="G526" t="s">
        <v>2171</v>
      </c>
      <c r="H526" t="s">
        <v>17</v>
      </c>
      <c r="I526" t="s">
        <v>18</v>
      </c>
      <c r="J526" t="str">
        <f>"5148138136"</f>
        <v>5148138136</v>
      </c>
      <c r="K526" t="s">
        <v>2172</v>
      </c>
      <c r="L526" t="s">
        <v>29</v>
      </c>
      <c r="M526" t="s">
        <v>21</v>
      </c>
    </row>
    <row r="527" spans="1:13" x14ac:dyDescent="0.35">
      <c r="A527" t="str">
        <f>"219-9094"</f>
        <v>219-9094</v>
      </c>
      <c r="B527" t="s">
        <v>2175</v>
      </c>
      <c r="C527" t="str">
        <f>"7700"</f>
        <v>7700</v>
      </c>
      <c r="D527" t="str">
        <f>"307"</f>
        <v>307</v>
      </c>
      <c r="E527" t="s">
        <v>2176</v>
      </c>
      <c r="F527" t="s">
        <v>24</v>
      </c>
      <c r="G527" t="s">
        <v>2177</v>
      </c>
      <c r="H527" t="s">
        <v>17</v>
      </c>
      <c r="I527" t="s">
        <v>18</v>
      </c>
      <c r="J527" t="str">
        <f>"5149122687"</f>
        <v>5149122687</v>
      </c>
      <c r="K527" t="s">
        <v>2178</v>
      </c>
      <c r="L527" t="s">
        <v>29</v>
      </c>
      <c r="M527" t="s">
        <v>21</v>
      </c>
    </row>
    <row r="528" spans="1:13" x14ac:dyDescent="0.35">
      <c r="A528" t="str">
        <f>"219-9097"</f>
        <v>219-9097</v>
      </c>
      <c r="B528" t="s">
        <v>2179</v>
      </c>
      <c r="C528" t="str">
        <f>"5131"</f>
        <v>5131</v>
      </c>
      <c r="E528" t="s">
        <v>2180</v>
      </c>
      <c r="F528" t="s">
        <v>24</v>
      </c>
      <c r="G528" t="s">
        <v>2181</v>
      </c>
      <c r="H528" t="s">
        <v>17</v>
      </c>
      <c r="I528" t="s">
        <v>18</v>
      </c>
      <c r="J528" t="str">
        <f>"5146190397"</f>
        <v>5146190397</v>
      </c>
      <c r="K528" t="s">
        <v>2182</v>
      </c>
      <c r="L528" t="s">
        <v>29</v>
      </c>
      <c r="M528" t="s">
        <v>21</v>
      </c>
    </row>
    <row r="529" spans="1:13" x14ac:dyDescent="0.35">
      <c r="A529" t="str">
        <f>"219-9098"</f>
        <v>219-9098</v>
      </c>
      <c r="B529" t="s">
        <v>2183</v>
      </c>
      <c r="C529" t="str">
        <f>"2780"</f>
        <v>2780</v>
      </c>
      <c r="E529" t="s">
        <v>2184</v>
      </c>
      <c r="F529" t="s">
        <v>54</v>
      </c>
      <c r="G529" t="s">
        <v>2185</v>
      </c>
      <c r="H529" t="s">
        <v>17</v>
      </c>
      <c r="I529" t="s">
        <v>18</v>
      </c>
      <c r="J529" t="str">
        <f>"5143719770"</f>
        <v>5143719770</v>
      </c>
      <c r="K529" t="s">
        <v>2186</v>
      </c>
      <c r="L529" t="s">
        <v>29</v>
      </c>
      <c r="M529" t="s">
        <v>21</v>
      </c>
    </row>
    <row r="530" spans="1:13" x14ac:dyDescent="0.35">
      <c r="A530" t="str">
        <f>"219-9125"</f>
        <v>219-9125</v>
      </c>
      <c r="B530" t="s">
        <v>2188</v>
      </c>
      <c r="C530" t="str">
        <f>"2253"</f>
        <v>2253</v>
      </c>
      <c r="E530" t="s">
        <v>2189</v>
      </c>
      <c r="F530" t="s">
        <v>24</v>
      </c>
      <c r="G530" t="s">
        <v>2190</v>
      </c>
      <c r="H530" t="s">
        <v>17</v>
      </c>
      <c r="I530" t="s">
        <v>18</v>
      </c>
      <c r="J530" t="str">
        <f>"4383820642"</f>
        <v>4383820642</v>
      </c>
      <c r="K530" t="s">
        <v>2191</v>
      </c>
      <c r="L530" t="s">
        <v>29</v>
      </c>
      <c r="M530" t="s">
        <v>21</v>
      </c>
    </row>
    <row r="531" spans="1:13" x14ac:dyDescent="0.35">
      <c r="A531" t="str">
        <f>"219-9146"</f>
        <v>219-9146</v>
      </c>
      <c r="B531" t="s">
        <v>2193</v>
      </c>
      <c r="C531" t="str">
        <f>"2492"</f>
        <v>2492</v>
      </c>
      <c r="E531" t="s">
        <v>2194</v>
      </c>
      <c r="F531" t="s">
        <v>143</v>
      </c>
      <c r="G531" t="s">
        <v>2195</v>
      </c>
      <c r="H531" t="s">
        <v>17</v>
      </c>
      <c r="I531" t="s">
        <v>18</v>
      </c>
      <c r="J531" t="str">
        <f>"5145665413"</f>
        <v>5145665413</v>
      </c>
      <c r="K531" t="s">
        <v>2196</v>
      </c>
      <c r="L531" t="s">
        <v>29</v>
      </c>
      <c r="M531" t="s">
        <v>21</v>
      </c>
    </row>
    <row r="532" spans="1:13" x14ac:dyDescent="0.35">
      <c r="A532" t="str">
        <f>"219-9161"</f>
        <v>219-9161</v>
      </c>
      <c r="B532" t="s">
        <v>2197</v>
      </c>
      <c r="C532" t="str">
        <f>"40"</f>
        <v>40</v>
      </c>
      <c r="E532" t="s">
        <v>2198</v>
      </c>
      <c r="F532" t="s">
        <v>768</v>
      </c>
      <c r="G532" t="s">
        <v>2199</v>
      </c>
      <c r="H532" t="s">
        <v>17</v>
      </c>
      <c r="I532" t="s">
        <v>18</v>
      </c>
      <c r="J532" t="str">
        <f>"5149151838"</f>
        <v>5149151838</v>
      </c>
      <c r="K532" t="s">
        <v>2200</v>
      </c>
      <c r="L532" t="s">
        <v>29</v>
      </c>
      <c r="M532" t="s">
        <v>21</v>
      </c>
    </row>
    <row r="533" spans="1:13" x14ac:dyDescent="0.35">
      <c r="A533" t="str">
        <f>"220-1118"</f>
        <v>220-1118</v>
      </c>
      <c r="B533" t="s">
        <v>2201</v>
      </c>
      <c r="C533" t="str">
        <f>"2400"</f>
        <v>2400</v>
      </c>
      <c r="D533" t="str">
        <f>"203"</f>
        <v>203</v>
      </c>
      <c r="E533" t="s">
        <v>213</v>
      </c>
      <c r="F533" t="s">
        <v>24</v>
      </c>
      <c r="G533" t="s">
        <v>2202</v>
      </c>
      <c r="H533" t="s">
        <v>17</v>
      </c>
      <c r="I533" t="s">
        <v>18</v>
      </c>
      <c r="J533" t="str">
        <f>"5145526787"</f>
        <v>5145526787</v>
      </c>
      <c r="K533" t="s">
        <v>2203</v>
      </c>
      <c r="L533" t="s">
        <v>76</v>
      </c>
      <c r="M533" t="s">
        <v>21</v>
      </c>
    </row>
    <row r="534" spans="1:13" x14ac:dyDescent="0.35">
      <c r="A534" t="str">
        <f>"220-1937"</f>
        <v>220-1937</v>
      </c>
      <c r="B534" t="s">
        <v>2204</v>
      </c>
      <c r="C534" t="str">
        <f>"2217"</f>
        <v>2217</v>
      </c>
      <c r="D534" t="str">
        <f>"2217A"</f>
        <v>2217A</v>
      </c>
      <c r="E534" t="s">
        <v>2205</v>
      </c>
      <c r="F534" t="s">
        <v>24</v>
      </c>
      <c r="G534" t="s">
        <v>2206</v>
      </c>
      <c r="H534" t="s">
        <v>17</v>
      </c>
      <c r="I534" t="s">
        <v>18</v>
      </c>
      <c r="J534" t="str">
        <f>"5146906589"</f>
        <v>5146906589</v>
      </c>
      <c r="K534" t="s">
        <v>2207</v>
      </c>
      <c r="L534" t="s">
        <v>76</v>
      </c>
      <c r="M534" t="s">
        <v>21</v>
      </c>
    </row>
    <row r="535" spans="1:13" x14ac:dyDescent="0.35">
      <c r="A535" t="str">
        <f>"220-0538"</f>
        <v>220-0538</v>
      </c>
      <c r="B535" t="s">
        <v>2208</v>
      </c>
      <c r="C535" t="str">
        <f>"1971"</f>
        <v>1971</v>
      </c>
      <c r="E535" t="s">
        <v>2209</v>
      </c>
      <c r="F535" t="s">
        <v>157</v>
      </c>
      <c r="G535" t="s">
        <v>2210</v>
      </c>
      <c r="H535" t="s">
        <v>17</v>
      </c>
      <c r="I535" t="s">
        <v>18</v>
      </c>
      <c r="J535" t="str">
        <f>"5143761620"</f>
        <v>5143761620</v>
      </c>
      <c r="K535" t="s">
        <v>2211</v>
      </c>
      <c r="L535" t="s">
        <v>76</v>
      </c>
      <c r="M535" t="s">
        <v>21</v>
      </c>
    </row>
    <row r="536" spans="1:13" x14ac:dyDescent="0.35">
      <c r="A536" t="str">
        <f>"224-5690"</f>
        <v>224-5690</v>
      </c>
      <c r="B536" t="s">
        <v>2213</v>
      </c>
      <c r="C536" t="str">
        <f>"7550"</f>
        <v>7550</v>
      </c>
      <c r="D536" t="str">
        <f>"4"</f>
        <v>4</v>
      </c>
      <c r="E536" t="s">
        <v>2214</v>
      </c>
      <c r="F536" t="s">
        <v>24</v>
      </c>
      <c r="G536" t="s">
        <v>2215</v>
      </c>
      <c r="H536" t="s">
        <v>17</v>
      </c>
      <c r="I536" t="s">
        <v>18</v>
      </c>
      <c r="J536" t="str">
        <f>"4389854449"</f>
        <v>4389854449</v>
      </c>
      <c r="K536" t="s">
        <v>2216</v>
      </c>
      <c r="L536" t="s">
        <v>2217</v>
      </c>
      <c r="M536" t="s">
        <v>21</v>
      </c>
    </row>
    <row r="537" spans="1:13" x14ac:dyDescent="0.35">
      <c r="A537" t="str">
        <f>"220-0826"</f>
        <v>220-0826</v>
      </c>
      <c r="B537" t="s">
        <v>2218</v>
      </c>
      <c r="C537" t="str">
        <f>"6720"</f>
        <v>6720</v>
      </c>
      <c r="D537" t="str">
        <f>"212"</f>
        <v>212</v>
      </c>
      <c r="E537" t="s">
        <v>2219</v>
      </c>
      <c r="F537" t="s">
        <v>24</v>
      </c>
      <c r="G537" t="s">
        <v>2220</v>
      </c>
      <c r="H537" t="s">
        <v>17</v>
      </c>
      <c r="I537" t="s">
        <v>18</v>
      </c>
      <c r="J537" t="str">
        <f>"3656622133"</f>
        <v>3656622133</v>
      </c>
      <c r="K537" t="s">
        <v>2221</v>
      </c>
      <c r="L537" t="s">
        <v>76</v>
      </c>
      <c r="M537" t="s">
        <v>21</v>
      </c>
    </row>
    <row r="538" spans="1:13" x14ac:dyDescent="0.35">
      <c r="A538" t="str">
        <f>"619-9920"</f>
        <v>619-9920</v>
      </c>
      <c r="B538" t="s">
        <v>2222</v>
      </c>
      <c r="C538" t="str">
        <f>"6400"</f>
        <v>6400</v>
      </c>
      <c r="E538" t="s">
        <v>169</v>
      </c>
      <c r="F538" t="s">
        <v>24</v>
      </c>
      <c r="G538" t="s">
        <v>170</v>
      </c>
      <c r="H538" t="s">
        <v>17</v>
      </c>
      <c r="I538" t="s">
        <v>18</v>
      </c>
      <c r="J538" t="str">
        <f>"5142625123"</f>
        <v>5142625123</v>
      </c>
      <c r="K538" t="s">
        <v>2223</v>
      </c>
      <c r="L538" t="s">
        <v>517</v>
      </c>
      <c r="M538" t="s">
        <v>21</v>
      </c>
    </row>
    <row r="539" spans="1:13" x14ac:dyDescent="0.35">
      <c r="A539" t="str">
        <f>"619-0384"</f>
        <v>619-0384</v>
      </c>
      <c r="B539" t="s">
        <v>2224</v>
      </c>
      <c r="C539" t="str">
        <f>"7040"</f>
        <v>7040</v>
      </c>
      <c r="D539" t="str">
        <f>"102"</f>
        <v>102</v>
      </c>
      <c r="E539" t="s">
        <v>314</v>
      </c>
      <c r="F539" t="s">
        <v>24</v>
      </c>
      <c r="G539" t="s">
        <v>2225</v>
      </c>
      <c r="H539" t="s">
        <v>17</v>
      </c>
      <c r="I539" t="s">
        <v>18</v>
      </c>
      <c r="J539" t="str">
        <f>"5147975055"</f>
        <v>5147975055</v>
      </c>
      <c r="K539" t="s">
        <v>2226</v>
      </c>
      <c r="L539" t="s">
        <v>39</v>
      </c>
      <c r="M539" t="s">
        <v>21</v>
      </c>
    </row>
    <row r="540" spans="1:13" x14ac:dyDescent="0.35">
      <c r="A540" t="str">
        <f>"619-0578"</f>
        <v>619-0578</v>
      </c>
      <c r="B540" t="s">
        <v>2228</v>
      </c>
      <c r="C540" t="str">
        <f>"4361"</f>
        <v>4361</v>
      </c>
      <c r="E540" t="s">
        <v>2229</v>
      </c>
      <c r="F540" t="s">
        <v>24</v>
      </c>
      <c r="G540" t="s">
        <v>2230</v>
      </c>
      <c r="H540" t="s">
        <v>17</v>
      </c>
      <c r="I540" t="s">
        <v>18</v>
      </c>
      <c r="J540" t="str">
        <f>"4389300632"</f>
        <v>4389300632</v>
      </c>
      <c r="K540" t="s">
        <v>2231</v>
      </c>
      <c r="L540" t="s">
        <v>997</v>
      </c>
      <c r="M540" t="s">
        <v>21</v>
      </c>
    </row>
    <row r="541" spans="1:13" x14ac:dyDescent="0.35">
      <c r="A541" t="str">
        <f>"197-1930"</f>
        <v>197-1930</v>
      </c>
      <c r="B541" t="s">
        <v>2232</v>
      </c>
      <c r="C541" t="str">
        <f>"11210"</f>
        <v>11210</v>
      </c>
      <c r="E541" t="s">
        <v>183</v>
      </c>
      <c r="F541" t="s">
        <v>24</v>
      </c>
      <c r="G541" t="s">
        <v>184</v>
      </c>
      <c r="H541" t="s">
        <v>17</v>
      </c>
      <c r="I541" t="s">
        <v>18</v>
      </c>
      <c r="J541" t="str">
        <f>"4383894971"</f>
        <v>4383894971</v>
      </c>
      <c r="K541" t="s">
        <v>2233</v>
      </c>
      <c r="L541" t="s">
        <v>76</v>
      </c>
      <c r="M541" t="s">
        <v>21</v>
      </c>
    </row>
    <row r="542" spans="1:13" x14ac:dyDescent="0.35">
      <c r="A542" t="str">
        <f>"066-2692"</f>
        <v>066-2692</v>
      </c>
      <c r="B542" t="s">
        <v>2234</v>
      </c>
      <c r="C542" t="str">
        <f>"2329"</f>
        <v>2329</v>
      </c>
      <c r="D542" t="str">
        <f>"1"</f>
        <v>1</v>
      </c>
      <c r="E542" t="s">
        <v>2235</v>
      </c>
      <c r="F542" t="s">
        <v>157</v>
      </c>
      <c r="G542" t="s">
        <v>2236</v>
      </c>
      <c r="H542" t="s">
        <v>17</v>
      </c>
      <c r="I542" t="s">
        <v>18</v>
      </c>
      <c r="J542" t="str">
        <f>"5147016029"</f>
        <v>5147016029</v>
      </c>
      <c r="K542" t="s">
        <v>2237</v>
      </c>
      <c r="L542" t="s">
        <v>29</v>
      </c>
      <c r="M542" t="s">
        <v>21</v>
      </c>
    </row>
    <row r="543" spans="1:13" x14ac:dyDescent="0.35">
      <c r="A543" t="str">
        <f>"220-0917"</f>
        <v>220-0917</v>
      </c>
      <c r="B543" t="s">
        <v>2240</v>
      </c>
      <c r="C543" t="str">
        <f>"2701"</f>
        <v>2701</v>
      </c>
      <c r="E543" t="s">
        <v>2241</v>
      </c>
      <c r="F543" t="s">
        <v>24</v>
      </c>
      <c r="G543" t="s">
        <v>2242</v>
      </c>
      <c r="H543" t="s">
        <v>17</v>
      </c>
      <c r="I543" t="s">
        <v>18</v>
      </c>
      <c r="J543" t="str">
        <f>"4389794435"</f>
        <v>4389794435</v>
      </c>
      <c r="K543" t="s">
        <v>2243</v>
      </c>
      <c r="L543" t="s">
        <v>76</v>
      </c>
      <c r="M543" t="s">
        <v>21</v>
      </c>
    </row>
    <row r="544" spans="1:13" x14ac:dyDescent="0.35">
      <c r="A544" t="str">
        <f>"187-5595"</f>
        <v>187-5595</v>
      </c>
      <c r="B544" t="s">
        <v>2244</v>
      </c>
      <c r="C544" t="str">
        <f>"5183"</f>
        <v>5183</v>
      </c>
      <c r="E544" t="s">
        <v>2245</v>
      </c>
      <c r="F544" t="s">
        <v>24</v>
      </c>
      <c r="G544" t="s">
        <v>2246</v>
      </c>
      <c r="H544" t="s">
        <v>17</v>
      </c>
      <c r="I544" t="s">
        <v>18</v>
      </c>
      <c r="J544" t="str">
        <f>"5147789776"</f>
        <v>5147789776</v>
      </c>
      <c r="K544" t="s">
        <v>2247</v>
      </c>
      <c r="L544" t="s">
        <v>76</v>
      </c>
      <c r="M544" t="s">
        <v>21</v>
      </c>
    </row>
    <row r="545" spans="1:13" x14ac:dyDescent="0.35">
      <c r="A545" t="str">
        <f>"100-4541"</f>
        <v>100-4541</v>
      </c>
      <c r="B545" t="s">
        <v>2248</v>
      </c>
      <c r="C545" t="str">
        <f>"6311"</f>
        <v>6311</v>
      </c>
      <c r="D545" t="str">
        <f>"7"</f>
        <v>7</v>
      </c>
      <c r="E545" t="s">
        <v>2249</v>
      </c>
      <c r="F545" t="s">
        <v>24</v>
      </c>
      <c r="G545" t="s">
        <v>2250</v>
      </c>
      <c r="H545" t="s">
        <v>17</v>
      </c>
      <c r="I545" t="s">
        <v>18</v>
      </c>
      <c r="J545" t="str">
        <f>"5147020306"</f>
        <v>5147020306</v>
      </c>
      <c r="K545" t="s">
        <v>2251</v>
      </c>
      <c r="L545" t="s">
        <v>27</v>
      </c>
      <c r="M545" t="s">
        <v>21</v>
      </c>
    </row>
    <row r="546" spans="1:13" x14ac:dyDescent="0.35">
      <c r="A546" t="str">
        <f>"218-6021"</f>
        <v>218-6021</v>
      </c>
      <c r="B546" t="s">
        <v>2252</v>
      </c>
      <c r="C546" t="str">
        <f>"3090"</f>
        <v>3090</v>
      </c>
      <c r="D546" t="str">
        <f>"305"</f>
        <v>305</v>
      </c>
      <c r="E546" t="s">
        <v>2253</v>
      </c>
      <c r="F546" t="s">
        <v>24</v>
      </c>
      <c r="G546" t="s">
        <v>2254</v>
      </c>
      <c r="H546" t="s">
        <v>17</v>
      </c>
      <c r="I546" t="s">
        <v>18</v>
      </c>
      <c r="J546" t="str">
        <f>"4384557513"</f>
        <v>4384557513</v>
      </c>
      <c r="K546" t="s">
        <v>2255</v>
      </c>
      <c r="L546" t="s">
        <v>86</v>
      </c>
      <c r="M546" t="s">
        <v>21</v>
      </c>
    </row>
    <row r="547" spans="1:13" x14ac:dyDescent="0.35">
      <c r="A547" t="str">
        <f>"221-3452"</f>
        <v>221-3452</v>
      </c>
      <c r="B547" t="s">
        <v>2256</v>
      </c>
      <c r="C547" t="str">
        <f>"5275"</f>
        <v>5275</v>
      </c>
      <c r="D547" t="str">
        <f>"8"</f>
        <v>8</v>
      </c>
      <c r="E547" t="s">
        <v>455</v>
      </c>
      <c r="F547" t="s">
        <v>24</v>
      </c>
      <c r="G547" t="s">
        <v>2257</v>
      </c>
      <c r="H547" t="s">
        <v>17</v>
      </c>
      <c r="I547" t="s">
        <v>18</v>
      </c>
      <c r="J547" t="str">
        <f>"5146214432"</f>
        <v>5146214432</v>
      </c>
      <c r="K547" t="s">
        <v>2258</v>
      </c>
      <c r="L547" t="s">
        <v>313</v>
      </c>
      <c r="M547" t="s">
        <v>21</v>
      </c>
    </row>
    <row r="548" spans="1:13" x14ac:dyDescent="0.35">
      <c r="A548" t="str">
        <f>"204-1743"</f>
        <v>204-1743</v>
      </c>
      <c r="B548" t="s">
        <v>2259</v>
      </c>
      <c r="C548" t="str">
        <f>"7100"</f>
        <v>7100</v>
      </c>
      <c r="D548" t="str">
        <f>"05"</f>
        <v>05</v>
      </c>
      <c r="E548" t="s">
        <v>67</v>
      </c>
      <c r="F548" t="s">
        <v>24</v>
      </c>
      <c r="G548" t="s">
        <v>2260</v>
      </c>
      <c r="H548" t="s">
        <v>17</v>
      </c>
      <c r="I548" t="s">
        <v>18</v>
      </c>
      <c r="J548" t="str">
        <f>"4389247930"</f>
        <v>4389247930</v>
      </c>
      <c r="K548" t="s">
        <v>2261</v>
      </c>
      <c r="L548" t="s">
        <v>168</v>
      </c>
      <c r="M548" t="s">
        <v>21</v>
      </c>
    </row>
    <row r="549" spans="1:13" x14ac:dyDescent="0.35">
      <c r="A549" t="str">
        <f>"177-2179"</f>
        <v>177-2179</v>
      </c>
      <c r="B549" t="s">
        <v>2263</v>
      </c>
      <c r="C549" t="str">
        <f>"4972"</f>
        <v>4972</v>
      </c>
      <c r="E549" t="s">
        <v>2264</v>
      </c>
      <c r="F549" t="s">
        <v>2265</v>
      </c>
      <c r="G549" t="s">
        <v>2266</v>
      </c>
      <c r="H549" t="s">
        <v>17</v>
      </c>
      <c r="I549" t="s">
        <v>18</v>
      </c>
      <c r="J549" t="str">
        <f>"5147521219"</f>
        <v>5147521219</v>
      </c>
      <c r="K549" t="s">
        <v>2267</v>
      </c>
      <c r="L549" t="s">
        <v>76</v>
      </c>
      <c r="M549" t="s">
        <v>21</v>
      </c>
    </row>
    <row r="550" spans="1:13" x14ac:dyDescent="0.35">
      <c r="A550" t="str">
        <f>"221-2053"</f>
        <v>221-2053</v>
      </c>
      <c r="B550" t="s">
        <v>2268</v>
      </c>
      <c r="C550" t="str">
        <f>"7271"</f>
        <v>7271</v>
      </c>
      <c r="D550" t="str">
        <f>"208"</f>
        <v>208</v>
      </c>
      <c r="E550" t="s">
        <v>2269</v>
      </c>
      <c r="F550" t="s">
        <v>24</v>
      </c>
      <c r="G550" t="s">
        <v>2270</v>
      </c>
      <c r="H550" t="s">
        <v>17</v>
      </c>
      <c r="I550" t="s">
        <v>18</v>
      </c>
      <c r="J550" t="str">
        <f>"4388889298"</f>
        <v>4388889298</v>
      </c>
      <c r="K550" t="s">
        <v>2271</v>
      </c>
      <c r="L550" t="s">
        <v>396</v>
      </c>
      <c r="M550" t="s">
        <v>21</v>
      </c>
    </row>
    <row r="551" spans="1:13" x14ac:dyDescent="0.35">
      <c r="A551" t="str">
        <f>"221-2273"</f>
        <v>221-2273</v>
      </c>
      <c r="B551" t="s">
        <v>2272</v>
      </c>
      <c r="C551" t="str">
        <f>"110"</f>
        <v>110</v>
      </c>
      <c r="E551" t="s">
        <v>2273</v>
      </c>
      <c r="F551" t="s">
        <v>32</v>
      </c>
      <c r="G551" t="s">
        <v>2274</v>
      </c>
      <c r="H551" t="s">
        <v>17</v>
      </c>
      <c r="I551" t="s">
        <v>18</v>
      </c>
      <c r="J551" t="str">
        <f>"4388381732"</f>
        <v>4388381732</v>
      </c>
      <c r="K551" t="s">
        <v>2275</v>
      </c>
      <c r="L551" t="s">
        <v>438</v>
      </c>
      <c r="M551" t="s">
        <v>21</v>
      </c>
    </row>
    <row r="552" spans="1:13" x14ac:dyDescent="0.35">
      <c r="A552" t="str">
        <f>"221-3571"</f>
        <v>221-3571</v>
      </c>
      <c r="B552" t="s">
        <v>2276</v>
      </c>
      <c r="C552" t="str">
        <f>"3968"</f>
        <v>3968</v>
      </c>
      <c r="D552" t="str">
        <f>"2"</f>
        <v>2</v>
      </c>
      <c r="E552" t="s">
        <v>508</v>
      </c>
      <c r="F552" t="s">
        <v>24</v>
      </c>
      <c r="G552" t="s">
        <v>2277</v>
      </c>
      <c r="H552" t="s">
        <v>17</v>
      </c>
      <c r="I552" t="s">
        <v>18</v>
      </c>
      <c r="J552" t="str">
        <f>"4383933521"</f>
        <v>4383933521</v>
      </c>
      <c r="K552" t="s">
        <v>2278</v>
      </c>
      <c r="L552" t="s">
        <v>207</v>
      </c>
      <c r="M552" t="s">
        <v>21</v>
      </c>
    </row>
    <row r="553" spans="1:13" x14ac:dyDescent="0.35">
      <c r="A553" t="str">
        <f>"221-5115"</f>
        <v>221-5115</v>
      </c>
      <c r="B553" t="s">
        <v>2279</v>
      </c>
      <c r="C553" t="str">
        <f>"7051"</f>
        <v>7051</v>
      </c>
      <c r="E553" t="s">
        <v>2280</v>
      </c>
      <c r="F553" t="s">
        <v>2281</v>
      </c>
      <c r="G553" t="s">
        <v>2282</v>
      </c>
      <c r="H553" t="s">
        <v>17</v>
      </c>
      <c r="I553" t="s">
        <v>18</v>
      </c>
      <c r="J553" t="str">
        <f>"4383897144"</f>
        <v>4383897144</v>
      </c>
      <c r="K553" t="s">
        <v>2283</v>
      </c>
      <c r="L553" t="s">
        <v>70</v>
      </c>
      <c r="M553" t="s">
        <v>21</v>
      </c>
    </row>
    <row r="554" spans="1:13" x14ac:dyDescent="0.35">
      <c r="A554" t="str">
        <f>"184-1482"</f>
        <v>184-1482</v>
      </c>
      <c r="B554" t="s">
        <v>2284</v>
      </c>
      <c r="C554" t="str">
        <f>"70"</f>
        <v>70</v>
      </c>
      <c r="E554" t="s">
        <v>2285</v>
      </c>
      <c r="F554" t="s">
        <v>54</v>
      </c>
      <c r="G554" t="s">
        <v>2286</v>
      </c>
      <c r="H554" t="s">
        <v>17</v>
      </c>
      <c r="I554" t="s">
        <v>18</v>
      </c>
      <c r="J554" t="str">
        <f>"5149770694"</f>
        <v>5149770694</v>
      </c>
      <c r="K554" t="s">
        <v>2287</v>
      </c>
      <c r="L554" t="s">
        <v>350</v>
      </c>
      <c r="M554" t="s">
        <v>21</v>
      </c>
    </row>
    <row r="555" spans="1:13" x14ac:dyDescent="0.35">
      <c r="A555" t="str">
        <f>"187-4171"</f>
        <v>187-4171</v>
      </c>
      <c r="B555" t="s">
        <v>2288</v>
      </c>
      <c r="C555" t="str">
        <f>"667"</f>
        <v>667</v>
      </c>
      <c r="E555" t="s">
        <v>2289</v>
      </c>
      <c r="F555" t="s">
        <v>143</v>
      </c>
      <c r="G555" t="s">
        <v>2290</v>
      </c>
      <c r="H555" t="s">
        <v>17</v>
      </c>
      <c r="I555" t="s">
        <v>18</v>
      </c>
      <c r="J555" t="str">
        <f>"4388364207"</f>
        <v>4388364207</v>
      </c>
      <c r="K555" t="s">
        <v>2291</v>
      </c>
      <c r="L555" t="s">
        <v>76</v>
      </c>
      <c r="M555" t="s">
        <v>21</v>
      </c>
    </row>
    <row r="556" spans="1:13" x14ac:dyDescent="0.35">
      <c r="A556" t="str">
        <f>"194-2676"</f>
        <v>194-2676</v>
      </c>
      <c r="B556" t="s">
        <v>2292</v>
      </c>
      <c r="C556" t="str">
        <f>"1265"</f>
        <v>1265</v>
      </c>
      <c r="E556" t="s">
        <v>2293</v>
      </c>
      <c r="F556" t="s">
        <v>157</v>
      </c>
      <c r="G556" t="s">
        <v>2294</v>
      </c>
      <c r="H556" t="s">
        <v>17</v>
      </c>
      <c r="I556" t="s">
        <v>18</v>
      </c>
      <c r="J556" t="str">
        <f>"5146075846"</f>
        <v>5146075846</v>
      </c>
      <c r="K556" t="s">
        <v>2295</v>
      </c>
      <c r="L556" t="s">
        <v>39</v>
      </c>
      <c r="M556" t="s">
        <v>21</v>
      </c>
    </row>
    <row r="557" spans="1:13" x14ac:dyDescent="0.35">
      <c r="A557" t="str">
        <f>"195-5493"</f>
        <v>195-5493</v>
      </c>
      <c r="B557" t="s">
        <v>2296</v>
      </c>
      <c r="C557" t="str">
        <f>"468"</f>
        <v>468</v>
      </c>
      <c r="E557" t="s">
        <v>2297</v>
      </c>
      <c r="F557" t="s">
        <v>54</v>
      </c>
      <c r="G557" t="s">
        <v>2298</v>
      </c>
      <c r="H557" t="s">
        <v>17</v>
      </c>
      <c r="I557" t="s">
        <v>18</v>
      </c>
      <c r="J557" t="str">
        <f>"5149746887"</f>
        <v>5149746887</v>
      </c>
      <c r="K557" t="s">
        <v>2299</v>
      </c>
      <c r="L557" t="s">
        <v>220</v>
      </c>
      <c r="M557" t="s">
        <v>21</v>
      </c>
    </row>
    <row r="558" spans="1:13" x14ac:dyDescent="0.35">
      <c r="A558" t="str">
        <f>"196-1991"</f>
        <v>196-1991</v>
      </c>
      <c r="B558" t="s">
        <v>2300</v>
      </c>
      <c r="C558" t="str">
        <f>"3345"</f>
        <v>3345</v>
      </c>
      <c r="E558" t="s">
        <v>2301</v>
      </c>
      <c r="F558" t="s">
        <v>2302</v>
      </c>
      <c r="G558" t="s">
        <v>2303</v>
      </c>
      <c r="H558" t="s">
        <v>17</v>
      </c>
      <c r="I558" t="s">
        <v>18</v>
      </c>
      <c r="J558" t="str">
        <f>"4384966720"</f>
        <v>4384966720</v>
      </c>
      <c r="K558" t="s">
        <v>2304</v>
      </c>
      <c r="L558" t="s">
        <v>76</v>
      </c>
      <c r="M558" t="s">
        <v>21</v>
      </c>
    </row>
    <row r="559" spans="1:13" x14ac:dyDescent="0.35">
      <c r="A559" t="str">
        <f>"198-8677"</f>
        <v>198-8677</v>
      </c>
      <c r="B559" t="s">
        <v>2305</v>
      </c>
      <c r="C559" t="str">
        <f>"7300"</f>
        <v>7300</v>
      </c>
      <c r="D559" t="str">
        <f>"6"</f>
        <v>6</v>
      </c>
      <c r="E559" t="s">
        <v>2306</v>
      </c>
      <c r="F559" t="s">
        <v>656</v>
      </c>
      <c r="G559" t="s">
        <v>2307</v>
      </c>
      <c r="H559" t="s">
        <v>17</v>
      </c>
      <c r="I559" t="s">
        <v>18</v>
      </c>
      <c r="J559" t="str">
        <f>"4389934126"</f>
        <v>4389934126</v>
      </c>
      <c r="K559" t="s">
        <v>2308</v>
      </c>
      <c r="L559" t="s">
        <v>350</v>
      </c>
      <c r="M559" t="s">
        <v>21</v>
      </c>
    </row>
    <row r="560" spans="1:13" x14ac:dyDescent="0.35">
      <c r="A560" t="str">
        <f>"206-0796"</f>
        <v>206-0796</v>
      </c>
      <c r="B560" t="s">
        <v>2309</v>
      </c>
      <c r="C560" t="str">
        <f>"4301"</f>
        <v>4301</v>
      </c>
      <c r="E560" t="s">
        <v>260</v>
      </c>
      <c r="F560" t="s">
        <v>24</v>
      </c>
      <c r="G560" t="s">
        <v>2310</v>
      </c>
      <c r="H560" t="s">
        <v>17</v>
      </c>
      <c r="I560" t="s">
        <v>18</v>
      </c>
      <c r="J560" t="str">
        <f>"4386300676"</f>
        <v>4386300676</v>
      </c>
      <c r="K560" t="s">
        <v>2311</v>
      </c>
      <c r="L560" t="s">
        <v>168</v>
      </c>
      <c r="M560" t="s">
        <v>21</v>
      </c>
    </row>
    <row r="561" spans="1:13" x14ac:dyDescent="0.35">
      <c r="A561" t="str">
        <f>"207-1114"</f>
        <v>207-1114</v>
      </c>
      <c r="B561" t="s">
        <v>2312</v>
      </c>
      <c r="C561" t="str">
        <f>"6003"</f>
        <v>6003</v>
      </c>
      <c r="E561" t="s">
        <v>2313</v>
      </c>
      <c r="F561" t="s">
        <v>24</v>
      </c>
      <c r="G561" t="s">
        <v>2314</v>
      </c>
      <c r="H561" t="s">
        <v>17</v>
      </c>
      <c r="I561" t="s">
        <v>18</v>
      </c>
      <c r="J561" t="str">
        <f>"4383919134"</f>
        <v>4383919134</v>
      </c>
      <c r="K561" t="s">
        <v>2315</v>
      </c>
      <c r="L561" t="s">
        <v>2316</v>
      </c>
      <c r="M561" t="s">
        <v>21</v>
      </c>
    </row>
    <row r="562" spans="1:13" x14ac:dyDescent="0.35">
      <c r="A562" t="str">
        <f>"207-6256"</f>
        <v>207-6256</v>
      </c>
      <c r="B562" t="s">
        <v>2317</v>
      </c>
      <c r="C562" t="str">
        <f>"6340"</f>
        <v>6340</v>
      </c>
      <c r="D562" t="str">
        <f>"3"</f>
        <v>3</v>
      </c>
      <c r="E562" t="s">
        <v>2318</v>
      </c>
      <c r="F562" t="s">
        <v>24</v>
      </c>
      <c r="G562" t="s">
        <v>2319</v>
      </c>
      <c r="H562" t="s">
        <v>17</v>
      </c>
      <c r="I562" t="s">
        <v>18</v>
      </c>
      <c r="J562" t="str">
        <f>"5145741394"</f>
        <v>5145741394</v>
      </c>
      <c r="K562" t="s">
        <v>2320</v>
      </c>
      <c r="L562" t="s">
        <v>168</v>
      </c>
      <c r="M562" t="s">
        <v>21</v>
      </c>
    </row>
    <row r="563" spans="1:13" x14ac:dyDescent="0.35">
      <c r="A563" t="str">
        <f>"207-7709"</f>
        <v>207-7709</v>
      </c>
      <c r="B563" t="s">
        <v>2321</v>
      </c>
      <c r="C563" t="str">
        <f>"4479"</f>
        <v>4479</v>
      </c>
      <c r="E563" t="s">
        <v>2322</v>
      </c>
      <c r="F563" t="s">
        <v>143</v>
      </c>
      <c r="G563" t="s">
        <v>2323</v>
      </c>
      <c r="H563" t="s">
        <v>17</v>
      </c>
      <c r="I563" t="s">
        <v>18</v>
      </c>
      <c r="J563" t="str">
        <f>"4388368259"</f>
        <v>4388368259</v>
      </c>
      <c r="K563" t="s">
        <v>2324</v>
      </c>
      <c r="L563" t="s">
        <v>76</v>
      </c>
      <c r="M563" t="s">
        <v>21</v>
      </c>
    </row>
    <row r="564" spans="1:13" x14ac:dyDescent="0.35">
      <c r="A564" t="str">
        <f>"209-2040"</f>
        <v>209-2040</v>
      </c>
      <c r="B564" t="s">
        <v>2325</v>
      </c>
      <c r="C564" t="str">
        <f>"7973"</f>
        <v>7973</v>
      </c>
      <c r="E564" t="s">
        <v>2326</v>
      </c>
      <c r="F564" t="s">
        <v>24</v>
      </c>
      <c r="G564" t="s">
        <v>2327</v>
      </c>
      <c r="H564" t="s">
        <v>17</v>
      </c>
      <c r="I564" t="s">
        <v>18</v>
      </c>
      <c r="J564" t="str">
        <f>"4389231674"</f>
        <v>4389231674</v>
      </c>
      <c r="K564" t="s">
        <v>2328</v>
      </c>
      <c r="L564" t="s">
        <v>168</v>
      </c>
      <c r="M564" t="s">
        <v>21</v>
      </c>
    </row>
    <row r="565" spans="1:13" x14ac:dyDescent="0.35">
      <c r="A565" t="str">
        <f>"211-3646"</f>
        <v>211-3646</v>
      </c>
      <c r="B565" t="s">
        <v>2329</v>
      </c>
      <c r="C565" t="str">
        <f>"8378"</f>
        <v>8378</v>
      </c>
      <c r="E565" t="s">
        <v>2330</v>
      </c>
      <c r="F565" t="s">
        <v>157</v>
      </c>
      <c r="G565" t="s">
        <v>2331</v>
      </c>
      <c r="H565" t="s">
        <v>17</v>
      </c>
      <c r="I565" t="s">
        <v>18</v>
      </c>
      <c r="J565" t="str">
        <f>"5143180786"</f>
        <v>5143180786</v>
      </c>
      <c r="K565" t="s">
        <v>2332</v>
      </c>
      <c r="L565" t="s">
        <v>319</v>
      </c>
      <c r="M565" t="s">
        <v>21</v>
      </c>
    </row>
    <row r="566" spans="1:13" x14ac:dyDescent="0.35">
      <c r="A566" t="str">
        <f>"215-2286"</f>
        <v>215-2286</v>
      </c>
      <c r="B566" t="s">
        <v>2333</v>
      </c>
      <c r="C566" t="str">
        <f>"6537"</f>
        <v>6537</v>
      </c>
      <c r="E566" t="s">
        <v>2334</v>
      </c>
      <c r="F566" t="s">
        <v>24</v>
      </c>
      <c r="G566" t="s">
        <v>2335</v>
      </c>
      <c r="H566" t="s">
        <v>17</v>
      </c>
      <c r="I566" t="s">
        <v>18</v>
      </c>
      <c r="J566" t="str">
        <f>"4389260329"</f>
        <v>4389260329</v>
      </c>
      <c r="K566" t="s">
        <v>2336</v>
      </c>
      <c r="L566" t="s">
        <v>534</v>
      </c>
      <c r="M566" t="s">
        <v>21</v>
      </c>
    </row>
    <row r="567" spans="1:13" x14ac:dyDescent="0.35">
      <c r="A567" t="str">
        <f>"217-1940"</f>
        <v>217-1940</v>
      </c>
      <c r="B567" t="s">
        <v>2337</v>
      </c>
      <c r="C567" t="str">
        <f>"6180"</f>
        <v>6180</v>
      </c>
      <c r="E567" t="s">
        <v>421</v>
      </c>
      <c r="F567" t="s">
        <v>24</v>
      </c>
      <c r="G567" t="s">
        <v>2338</v>
      </c>
      <c r="H567" t="s">
        <v>17</v>
      </c>
      <c r="I567" t="s">
        <v>18</v>
      </c>
      <c r="J567" t="str">
        <f>"5145258315"</f>
        <v>5145258315</v>
      </c>
      <c r="K567" t="s">
        <v>2339</v>
      </c>
      <c r="L567" t="s">
        <v>396</v>
      </c>
      <c r="M567" t="s">
        <v>21</v>
      </c>
    </row>
    <row r="568" spans="1:13" x14ac:dyDescent="0.35">
      <c r="A568" t="str">
        <f>"217-5985"</f>
        <v>217-5985</v>
      </c>
      <c r="B568" t="s">
        <v>2340</v>
      </c>
      <c r="C568" t="str">
        <f>"8893"</f>
        <v>8893</v>
      </c>
      <c r="E568" t="s">
        <v>75</v>
      </c>
      <c r="F568" t="s">
        <v>24</v>
      </c>
      <c r="G568" t="s">
        <v>2341</v>
      </c>
      <c r="H568" t="s">
        <v>17</v>
      </c>
      <c r="I568" t="s">
        <v>18</v>
      </c>
      <c r="J568" t="str">
        <f>"4388837217"</f>
        <v>4388837217</v>
      </c>
      <c r="K568" t="s">
        <v>2342</v>
      </c>
      <c r="L568" t="s">
        <v>193</v>
      </c>
      <c r="M568" t="s">
        <v>21</v>
      </c>
    </row>
    <row r="569" spans="1:13" x14ac:dyDescent="0.35">
      <c r="A569" t="str">
        <f>"220-5244"</f>
        <v>220-5244</v>
      </c>
      <c r="B569" t="s">
        <v>2343</v>
      </c>
      <c r="C569" t="str">
        <f>"1690"</f>
        <v>1690</v>
      </c>
      <c r="E569" t="s">
        <v>2344</v>
      </c>
      <c r="F569" t="s">
        <v>24</v>
      </c>
      <c r="G569" t="s">
        <v>2345</v>
      </c>
      <c r="H569" t="s">
        <v>17</v>
      </c>
      <c r="I569" t="s">
        <v>18</v>
      </c>
      <c r="J569" t="str">
        <f>"4388299690"</f>
        <v>4388299690</v>
      </c>
      <c r="K569" t="s">
        <v>2346</v>
      </c>
      <c r="L569" t="s">
        <v>27</v>
      </c>
      <c r="M569" t="s">
        <v>21</v>
      </c>
    </row>
    <row r="570" spans="1:13" x14ac:dyDescent="0.35">
      <c r="A570" t="str">
        <f>"220-5302"</f>
        <v>220-5302</v>
      </c>
      <c r="B570" t="s">
        <v>2347</v>
      </c>
      <c r="C570" t="str">
        <f>"7100"</f>
        <v>7100</v>
      </c>
      <c r="D570" t="str">
        <f>"414"</f>
        <v>414</v>
      </c>
      <c r="E570" t="s">
        <v>2348</v>
      </c>
      <c r="F570" t="s">
        <v>24</v>
      </c>
      <c r="G570" t="s">
        <v>2349</v>
      </c>
      <c r="H570" t="s">
        <v>17</v>
      </c>
      <c r="I570" t="s">
        <v>18</v>
      </c>
      <c r="J570" t="str">
        <f>"4388605303"</f>
        <v>4388605303</v>
      </c>
      <c r="K570" t="s">
        <v>2350</v>
      </c>
      <c r="L570" t="s">
        <v>396</v>
      </c>
      <c r="M570" t="s">
        <v>21</v>
      </c>
    </row>
    <row r="571" spans="1:13" x14ac:dyDescent="0.35">
      <c r="A571" t="str">
        <f>"220-6626"</f>
        <v>220-6626</v>
      </c>
      <c r="B571" t="s">
        <v>2351</v>
      </c>
      <c r="C571" t="str">
        <f>"7100"</f>
        <v>7100</v>
      </c>
      <c r="D571" t="str">
        <f>"418"</f>
        <v>418</v>
      </c>
      <c r="E571" t="s">
        <v>2348</v>
      </c>
      <c r="F571" t="s">
        <v>24</v>
      </c>
      <c r="G571" t="s">
        <v>2352</v>
      </c>
      <c r="H571" t="s">
        <v>17</v>
      </c>
      <c r="I571" t="s">
        <v>18</v>
      </c>
      <c r="J571" t="str">
        <f>"4388338084"</f>
        <v>4388338084</v>
      </c>
      <c r="K571" t="s">
        <v>2353</v>
      </c>
      <c r="L571" t="s">
        <v>86</v>
      </c>
      <c r="M571" t="s">
        <v>21</v>
      </c>
    </row>
    <row r="572" spans="1:13" x14ac:dyDescent="0.35">
      <c r="A572" t="str">
        <f>"220-7015"</f>
        <v>220-7015</v>
      </c>
      <c r="B572" t="s">
        <v>2354</v>
      </c>
      <c r="C572" t="str">
        <f>"685"</f>
        <v>685</v>
      </c>
      <c r="D572" t="str">
        <f>"01"</f>
        <v>01</v>
      </c>
      <c r="E572" t="s">
        <v>2355</v>
      </c>
      <c r="F572" t="s">
        <v>40</v>
      </c>
      <c r="G572" t="s">
        <v>2356</v>
      </c>
      <c r="H572" t="s">
        <v>17</v>
      </c>
      <c r="I572" t="s">
        <v>18</v>
      </c>
      <c r="J572" t="str">
        <f>"4384931007"</f>
        <v>4384931007</v>
      </c>
      <c r="K572" t="s">
        <v>2357</v>
      </c>
      <c r="L572" t="s">
        <v>76</v>
      </c>
      <c r="M572" t="s">
        <v>21</v>
      </c>
    </row>
    <row r="573" spans="1:13" x14ac:dyDescent="0.35">
      <c r="A573" t="str">
        <f>"220-9620"</f>
        <v>220-9620</v>
      </c>
      <c r="B573" t="s">
        <v>2358</v>
      </c>
      <c r="C573" t="str">
        <f>"8742"</f>
        <v>8742</v>
      </c>
      <c r="E573" t="s">
        <v>2359</v>
      </c>
      <c r="F573" t="s">
        <v>24</v>
      </c>
      <c r="G573" t="s">
        <v>2360</v>
      </c>
      <c r="H573" t="s">
        <v>17</v>
      </c>
      <c r="I573" t="s">
        <v>18</v>
      </c>
      <c r="J573" t="str">
        <f>"2638805564"</f>
        <v>2638805564</v>
      </c>
      <c r="K573" t="s">
        <v>2361</v>
      </c>
      <c r="L573" t="s">
        <v>869</v>
      </c>
      <c r="M573" t="s">
        <v>21</v>
      </c>
    </row>
    <row r="574" spans="1:13" x14ac:dyDescent="0.35">
      <c r="A574" t="str">
        <f>"221-6472"</f>
        <v>221-6472</v>
      </c>
      <c r="B574" t="s">
        <v>2362</v>
      </c>
      <c r="C574" t="str">
        <f>"2207"</f>
        <v>2207</v>
      </c>
      <c r="E574" t="s">
        <v>2363</v>
      </c>
      <c r="F574" t="s">
        <v>24</v>
      </c>
      <c r="G574" t="s">
        <v>2364</v>
      </c>
      <c r="H574" t="s">
        <v>17</v>
      </c>
      <c r="I574" t="s">
        <v>18</v>
      </c>
      <c r="J574" t="str">
        <f>"5142607686"</f>
        <v>5142607686</v>
      </c>
      <c r="K574" t="s">
        <v>2365</v>
      </c>
      <c r="L574" t="s">
        <v>608</v>
      </c>
      <c r="M574" t="s">
        <v>21</v>
      </c>
    </row>
    <row r="575" spans="1:13" x14ac:dyDescent="0.35">
      <c r="A575" t="str">
        <f>"221-7274"</f>
        <v>221-7274</v>
      </c>
      <c r="B575" t="s">
        <v>2366</v>
      </c>
      <c r="C575" t="str">
        <f>"8970"</f>
        <v>8970</v>
      </c>
      <c r="D575" t="str">
        <f>"1"</f>
        <v>1</v>
      </c>
      <c r="E575" t="s">
        <v>2367</v>
      </c>
      <c r="F575" t="s">
        <v>40</v>
      </c>
      <c r="G575" t="s">
        <v>2368</v>
      </c>
      <c r="H575" t="s">
        <v>17</v>
      </c>
      <c r="I575" t="s">
        <v>18</v>
      </c>
      <c r="J575" t="str">
        <f>"5146550268"</f>
        <v>5146550268</v>
      </c>
      <c r="K575" t="s">
        <v>2369</v>
      </c>
      <c r="L575" t="s">
        <v>193</v>
      </c>
      <c r="M575" t="s">
        <v>21</v>
      </c>
    </row>
    <row r="576" spans="1:13" x14ac:dyDescent="0.35">
      <c r="A576" t="str">
        <f>"221-7926"</f>
        <v>221-7926</v>
      </c>
      <c r="B576" t="s">
        <v>2370</v>
      </c>
      <c r="C576" t="str">
        <f>"153"</f>
        <v>153</v>
      </c>
      <c r="E576" t="s">
        <v>2371</v>
      </c>
      <c r="F576" t="s">
        <v>624</v>
      </c>
      <c r="G576" t="s">
        <v>2372</v>
      </c>
      <c r="H576" t="s">
        <v>17</v>
      </c>
      <c r="I576" t="s">
        <v>18</v>
      </c>
      <c r="J576" t="str">
        <f>"4385237628"</f>
        <v>4385237628</v>
      </c>
      <c r="K576" t="s">
        <v>2373</v>
      </c>
      <c r="L576" t="s">
        <v>70</v>
      </c>
      <c r="M576" t="s">
        <v>21</v>
      </c>
    </row>
    <row r="577" spans="1:13" x14ac:dyDescent="0.35">
      <c r="A577" t="str">
        <f>"615-2244"</f>
        <v>615-2244</v>
      </c>
      <c r="B577" t="s">
        <v>2374</v>
      </c>
      <c r="C577" t="str">
        <f>"1459"</f>
        <v>1459</v>
      </c>
      <c r="D577" t="str">
        <f>"4"</f>
        <v>4</v>
      </c>
      <c r="E577" t="s">
        <v>125</v>
      </c>
      <c r="F577" t="s">
        <v>24</v>
      </c>
      <c r="G577" t="s">
        <v>2375</v>
      </c>
      <c r="H577" t="s">
        <v>17</v>
      </c>
      <c r="I577" t="s">
        <v>18</v>
      </c>
      <c r="J577" t="str">
        <f>"5146924336"</f>
        <v>5146924336</v>
      </c>
      <c r="K577" t="s">
        <v>2376</v>
      </c>
      <c r="L577" t="s">
        <v>29</v>
      </c>
      <c r="M577" t="s">
        <v>21</v>
      </c>
    </row>
    <row r="578" spans="1:13" x14ac:dyDescent="0.35">
      <c r="A578" t="str">
        <f>"222-7185"</f>
        <v>222-7185</v>
      </c>
      <c r="B578" t="s">
        <v>2377</v>
      </c>
      <c r="C578" t="str">
        <f>"3913"</f>
        <v>3913</v>
      </c>
      <c r="D578" t="str">
        <f>"3913"</f>
        <v>3913</v>
      </c>
      <c r="E578" t="s">
        <v>1966</v>
      </c>
      <c r="F578" t="s">
        <v>40</v>
      </c>
      <c r="G578" t="s">
        <v>2378</v>
      </c>
      <c r="H578" t="s">
        <v>17</v>
      </c>
      <c r="I578" t="s">
        <v>18</v>
      </c>
      <c r="J578" t="str">
        <f>"5142249573"</f>
        <v>5142249573</v>
      </c>
      <c r="K578" t="s">
        <v>2379</v>
      </c>
      <c r="L578" t="s">
        <v>20</v>
      </c>
      <c r="M578" t="s">
        <v>21</v>
      </c>
    </row>
    <row r="579" spans="1:13" x14ac:dyDescent="0.35">
      <c r="A579" t="str">
        <f>"132-2076"</f>
        <v>132-2076</v>
      </c>
      <c r="B579" t="s">
        <v>2380</v>
      </c>
      <c r="C579" t="str">
        <f>"3954"</f>
        <v>3954</v>
      </c>
      <c r="D579" t="str">
        <f>"3"</f>
        <v>3</v>
      </c>
      <c r="E579" t="s">
        <v>125</v>
      </c>
      <c r="F579" t="s">
        <v>24</v>
      </c>
      <c r="G579" t="s">
        <v>2381</v>
      </c>
      <c r="H579" t="s">
        <v>17</v>
      </c>
      <c r="I579" t="s">
        <v>18</v>
      </c>
      <c r="J579" t="str">
        <f>"5147571995"</f>
        <v>5147571995</v>
      </c>
      <c r="K579" t="s">
        <v>2382</v>
      </c>
      <c r="L579" t="s">
        <v>869</v>
      </c>
      <c r="M579" t="s">
        <v>21</v>
      </c>
    </row>
    <row r="580" spans="1:13" x14ac:dyDescent="0.35">
      <c r="A580" t="str">
        <f>"154-5918"</f>
        <v>154-5918</v>
      </c>
      <c r="B580" t="s">
        <v>2383</v>
      </c>
      <c r="C580" t="str">
        <f>"6750"</f>
        <v>6750</v>
      </c>
      <c r="D580" t="str">
        <f>"408"</f>
        <v>408</v>
      </c>
      <c r="E580" t="s">
        <v>597</v>
      </c>
      <c r="F580" t="s">
        <v>24</v>
      </c>
      <c r="G580" t="s">
        <v>598</v>
      </c>
      <c r="H580" t="s">
        <v>17</v>
      </c>
      <c r="I580" t="s">
        <v>18</v>
      </c>
      <c r="J580" t="str">
        <f>"5149279568"</f>
        <v>5149279568</v>
      </c>
      <c r="K580" t="s">
        <v>2384</v>
      </c>
      <c r="L580" t="s">
        <v>27</v>
      </c>
      <c r="M580" t="s">
        <v>21</v>
      </c>
    </row>
    <row r="581" spans="1:13" x14ac:dyDescent="0.35">
      <c r="A581" t="str">
        <f>"168-2711"</f>
        <v>168-2711</v>
      </c>
      <c r="B581" t="s">
        <v>2385</v>
      </c>
      <c r="C581" t="str">
        <f>"6757"</f>
        <v>6757</v>
      </c>
      <c r="D581" t="str">
        <f>"A"</f>
        <v>A</v>
      </c>
      <c r="E581" t="s">
        <v>2386</v>
      </c>
      <c r="F581" t="s">
        <v>24</v>
      </c>
      <c r="G581" t="s">
        <v>2387</v>
      </c>
      <c r="H581" t="s">
        <v>17</v>
      </c>
      <c r="I581" t="s">
        <v>18</v>
      </c>
      <c r="J581" t="str">
        <f>"5145714028"</f>
        <v>5145714028</v>
      </c>
      <c r="K581" t="s">
        <v>2388</v>
      </c>
      <c r="L581" t="s">
        <v>27</v>
      </c>
      <c r="M581" t="s">
        <v>21</v>
      </c>
    </row>
    <row r="582" spans="1:13" x14ac:dyDescent="0.35">
      <c r="A582" t="str">
        <f>"210-8222"</f>
        <v>210-8222</v>
      </c>
      <c r="B582" t="s">
        <v>2390</v>
      </c>
      <c r="C582" t="str">
        <f>"195"</f>
        <v>195</v>
      </c>
      <c r="E582" t="s">
        <v>2391</v>
      </c>
      <c r="F582" t="s">
        <v>32</v>
      </c>
      <c r="G582" t="s">
        <v>2392</v>
      </c>
      <c r="H582" t="s">
        <v>17</v>
      </c>
      <c r="I582" t="s">
        <v>18</v>
      </c>
      <c r="J582" t="str">
        <f>"4385049926"</f>
        <v>4385049926</v>
      </c>
      <c r="K582" t="s">
        <v>2393</v>
      </c>
      <c r="L582" t="s">
        <v>193</v>
      </c>
      <c r="M582" t="s">
        <v>21</v>
      </c>
    </row>
    <row r="583" spans="1:13" x14ac:dyDescent="0.35">
      <c r="A583" t="str">
        <f>"188-3816"</f>
        <v>188-3816</v>
      </c>
      <c r="B583" t="s">
        <v>2394</v>
      </c>
      <c r="C583" t="str">
        <f>"6641"</f>
        <v>6641</v>
      </c>
      <c r="E583" t="s">
        <v>2395</v>
      </c>
      <c r="F583" t="s">
        <v>24</v>
      </c>
      <c r="G583" t="s">
        <v>2396</v>
      </c>
      <c r="H583" t="s">
        <v>17</v>
      </c>
      <c r="I583" t="s">
        <v>18</v>
      </c>
      <c r="J583" t="str">
        <f>"5818993281"</f>
        <v>5818993281</v>
      </c>
      <c r="K583" t="s">
        <v>2397</v>
      </c>
      <c r="L583" t="s">
        <v>27</v>
      </c>
      <c r="M583" t="s">
        <v>21</v>
      </c>
    </row>
    <row r="584" spans="1:13" x14ac:dyDescent="0.35">
      <c r="A584" t="str">
        <f>"201-7939"</f>
        <v>201-7939</v>
      </c>
      <c r="B584" t="s">
        <v>2400</v>
      </c>
      <c r="C584" t="str">
        <f>"3526 A"</f>
        <v>3526 A</v>
      </c>
      <c r="D584" t="str">
        <f>"A"</f>
        <v>A</v>
      </c>
      <c r="E584" t="s">
        <v>125</v>
      </c>
      <c r="F584" t="s">
        <v>24</v>
      </c>
      <c r="G584" t="s">
        <v>2401</v>
      </c>
      <c r="H584" t="s">
        <v>17</v>
      </c>
      <c r="I584" t="s">
        <v>18</v>
      </c>
      <c r="J584" t="str">
        <f>"5147224876"</f>
        <v>5147224876</v>
      </c>
      <c r="K584" t="s">
        <v>2402</v>
      </c>
      <c r="L584" t="s">
        <v>76</v>
      </c>
      <c r="M584" t="s">
        <v>21</v>
      </c>
    </row>
    <row r="585" spans="1:13" x14ac:dyDescent="0.35">
      <c r="A585" t="str">
        <f>"207-6744"</f>
        <v>207-6744</v>
      </c>
      <c r="B585" t="s">
        <v>2403</v>
      </c>
      <c r="C585" t="str">
        <f>"7017"</f>
        <v>7017</v>
      </c>
      <c r="E585" t="s">
        <v>926</v>
      </c>
      <c r="F585" t="s">
        <v>24</v>
      </c>
      <c r="G585" t="s">
        <v>2404</v>
      </c>
      <c r="H585" t="s">
        <v>17</v>
      </c>
      <c r="I585" t="s">
        <v>18</v>
      </c>
      <c r="J585" t="str">
        <f>"5142247592"</f>
        <v>5142247592</v>
      </c>
      <c r="K585" t="s">
        <v>2405</v>
      </c>
      <c r="L585" t="s">
        <v>193</v>
      </c>
      <c r="M585" t="s">
        <v>21</v>
      </c>
    </row>
    <row r="586" spans="1:13" x14ac:dyDescent="0.35">
      <c r="A586" t="str">
        <f>"208-9605"</f>
        <v>208-9605</v>
      </c>
      <c r="B586" t="s">
        <v>2406</v>
      </c>
      <c r="C586" t="str">
        <f>"12728"</f>
        <v>12728</v>
      </c>
      <c r="E586" t="s">
        <v>2407</v>
      </c>
      <c r="F586" t="s">
        <v>24</v>
      </c>
      <c r="G586" t="s">
        <v>2408</v>
      </c>
      <c r="H586" t="s">
        <v>17</v>
      </c>
      <c r="I586" t="s">
        <v>18</v>
      </c>
      <c r="J586" t="str">
        <f>"4385244886"</f>
        <v>4385244886</v>
      </c>
      <c r="K586" t="s">
        <v>2409</v>
      </c>
      <c r="L586" t="s">
        <v>2410</v>
      </c>
      <c r="M586" t="s">
        <v>21</v>
      </c>
    </row>
    <row r="587" spans="1:13" x14ac:dyDescent="0.35">
      <c r="A587" t="str">
        <f>"215-5128"</f>
        <v>215-5128</v>
      </c>
      <c r="B587" t="s">
        <v>2411</v>
      </c>
      <c r="C587" t="str">
        <f>"6521"</f>
        <v>6521</v>
      </c>
      <c r="E587" t="s">
        <v>2412</v>
      </c>
      <c r="F587" t="s">
        <v>24</v>
      </c>
      <c r="G587" t="s">
        <v>2413</v>
      </c>
      <c r="H587" t="s">
        <v>17</v>
      </c>
      <c r="I587" t="s">
        <v>18</v>
      </c>
      <c r="J587" t="str">
        <f>"5144025664"</f>
        <v>5144025664</v>
      </c>
      <c r="K587" t="s">
        <v>2414</v>
      </c>
      <c r="L587" t="s">
        <v>86</v>
      </c>
      <c r="M587" t="s">
        <v>21</v>
      </c>
    </row>
    <row r="588" spans="1:13" x14ac:dyDescent="0.35">
      <c r="A588" t="str">
        <f>"218-0193"</f>
        <v>218-0193</v>
      </c>
      <c r="B588" t="s">
        <v>2415</v>
      </c>
      <c r="C588" t="str">
        <f>"3480"</f>
        <v>3480</v>
      </c>
      <c r="D588" t="str">
        <f>"9"</f>
        <v>9</v>
      </c>
      <c r="E588" t="s">
        <v>508</v>
      </c>
      <c r="F588" t="s">
        <v>24</v>
      </c>
      <c r="G588" t="s">
        <v>2416</v>
      </c>
      <c r="H588" t="s">
        <v>17</v>
      </c>
      <c r="I588" t="s">
        <v>18</v>
      </c>
      <c r="J588" t="str">
        <f>"4388260612"</f>
        <v>4388260612</v>
      </c>
      <c r="K588" t="s">
        <v>2417</v>
      </c>
      <c r="L588" t="s">
        <v>350</v>
      </c>
      <c r="M588" t="s">
        <v>21</v>
      </c>
    </row>
    <row r="589" spans="1:13" x14ac:dyDescent="0.35">
      <c r="A589" t="str">
        <f>"218-5857"</f>
        <v>218-5857</v>
      </c>
      <c r="B589" t="s">
        <v>2418</v>
      </c>
      <c r="C589" t="str">
        <f>"3371"</f>
        <v>3371</v>
      </c>
      <c r="D589" t="str">
        <f>"6"</f>
        <v>6</v>
      </c>
      <c r="E589" t="s">
        <v>2419</v>
      </c>
      <c r="F589" t="s">
        <v>24</v>
      </c>
      <c r="G589" t="s">
        <v>2420</v>
      </c>
      <c r="H589" t="s">
        <v>17</v>
      </c>
      <c r="I589" t="s">
        <v>18</v>
      </c>
      <c r="J589" t="str">
        <f>"4383088665"</f>
        <v>4383088665</v>
      </c>
      <c r="K589" t="s">
        <v>2421</v>
      </c>
      <c r="L589" t="s">
        <v>396</v>
      </c>
      <c r="M589" t="s">
        <v>21</v>
      </c>
    </row>
    <row r="590" spans="1:13" x14ac:dyDescent="0.35">
      <c r="A590" t="str">
        <f>"219-0885"</f>
        <v>219-0885</v>
      </c>
      <c r="B590" t="s">
        <v>2422</v>
      </c>
      <c r="C590" t="str">
        <f>"3910"</f>
        <v>3910</v>
      </c>
      <c r="E590" t="s">
        <v>2423</v>
      </c>
      <c r="F590" t="s">
        <v>54</v>
      </c>
      <c r="G590" t="s">
        <v>2424</v>
      </c>
      <c r="H590" t="s">
        <v>17</v>
      </c>
      <c r="I590" t="s">
        <v>18</v>
      </c>
      <c r="J590" t="str">
        <f>"5149268403"</f>
        <v>5149268403</v>
      </c>
      <c r="K590" t="s">
        <v>2425</v>
      </c>
      <c r="L590" t="s">
        <v>396</v>
      </c>
      <c r="M590" t="s">
        <v>21</v>
      </c>
    </row>
    <row r="591" spans="1:13" x14ac:dyDescent="0.35">
      <c r="A591" t="str">
        <f>"221-5100"</f>
        <v>221-5100</v>
      </c>
      <c r="B591" t="s">
        <v>2426</v>
      </c>
      <c r="C591" t="str">
        <f>"9169"</f>
        <v>9169</v>
      </c>
      <c r="E591" t="s">
        <v>830</v>
      </c>
      <c r="F591" t="s">
        <v>24</v>
      </c>
      <c r="G591" t="s">
        <v>2427</v>
      </c>
      <c r="H591" t="s">
        <v>17</v>
      </c>
      <c r="I591" t="s">
        <v>18</v>
      </c>
      <c r="J591" t="str">
        <f>"4388862038"</f>
        <v>4388862038</v>
      </c>
      <c r="K591" t="s">
        <v>2428</v>
      </c>
      <c r="L591" t="s">
        <v>27</v>
      </c>
      <c r="M591" t="s">
        <v>21</v>
      </c>
    </row>
    <row r="592" spans="1:13" x14ac:dyDescent="0.35">
      <c r="A592" t="str">
        <f>"222-1870"</f>
        <v>222-1870</v>
      </c>
      <c r="B592" t="s">
        <v>2429</v>
      </c>
      <c r="C592" t="str">
        <f>"1107"</f>
        <v>1107</v>
      </c>
      <c r="E592" t="s">
        <v>2430</v>
      </c>
      <c r="F592" t="s">
        <v>24</v>
      </c>
      <c r="G592" t="s">
        <v>2431</v>
      </c>
      <c r="H592" t="s">
        <v>17</v>
      </c>
      <c r="I592" t="s">
        <v>18</v>
      </c>
      <c r="J592" t="str">
        <f>"5144526969"</f>
        <v>5144526969</v>
      </c>
      <c r="K592" t="s">
        <v>2432</v>
      </c>
      <c r="L592" t="s">
        <v>220</v>
      </c>
      <c r="M592" t="s">
        <v>21</v>
      </c>
    </row>
    <row r="593" spans="1:13" x14ac:dyDescent="0.35">
      <c r="A593" t="str">
        <f>"222-3137"</f>
        <v>222-3137</v>
      </c>
      <c r="B593" t="s">
        <v>2433</v>
      </c>
      <c r="C593" t="str">
        <f>"11045"</f>
        <v>11045</v>
      </c>
      <c r="D593" t="str">
        <f>"3"</f>
        <v>3</v>
      </c>
      <c r="E593" t="s">
        <v>691</v>
      </c>
      <c r="F593" t="s">
        <v>24</v>
      </c>
      <c r="G593" t="s">
        <v>2434</v>
      </c>
      <c r="H593" t="s">
        <v>17</v>
      </c>
      <c r="I593" t="s">
        <v>18</v>
      </c>
      <c r="J593" t="str">
        <f>"4389209808"</f>
        <v>4389209808</v>
      </c>
      <c r="K593" t="s">
        <v>2435</v>
      </c>
      <c r="L593" t="s">
        <v>27</v>
      </c>
      <c r="M593" t="s">
        <v>21</v>
      </c>
    </row>
    <row r="594" spans="1:13" x14ac:dyDescent="0.35">
      <c r="A594" t="str">
        <f>"222-4184"</f>
        <v>222-4184</v>
      </c>
      <c r="B594" t="s">
        <v>2436</v>
      </c>
      <c r="C594" t="str">
        <f>"1398"</f>
        <v>1398</v>
      </c>
      <c r="D594" t="str">
        <f>"3"</f>
        <v>3</v>
      </c>
      <c r="E594" t="s">
        <v>413</v>
      </c>
      <c r="F594" t="s">
        <v>24</v>
      </c>
      <c r="G594" t="s">
        <v>2437</v>
      </c>
      <c r="H594" t="s">
        <v>17</v>
      </c>
      <c r="I594" t="s">
        <v>18</v>
      </c>
      <c r="J594" t="str">
        <f>"4384981210"</f>
        <v>4384981210</v>
      </c>
      <c r="K594" t="s">
        <v>2438</v>
      </c>
      <c r="L594" t="s">
        <v>39</v>
      </c>
      <c r="M594" t="s">
        <v>21</v>
      </c>
    </row>
    <row r="595" spans="1:13" x14ac:dyDescent="0.35">
      <c r="A595" t="str">
        <f>"222-3700"</f>
        <v>222-3700</v>
      </c>
      <c r="B595" t="s">
        <v>2439</v>
      </c>
      <c r="C595" t="str">
        <f>"2747"</f>
        <v>2747</v>
      </c>
      <c r="D595" t="str">
        <f>"301"</f>
        <v>301</v>
      </c>
      <c r="E595" t="s">
        <v>1962</v>
      </c>
      <c r="F595" t="s">
        <v>24</v>
      </c>
      <c r="G595" t="s">
        <v>2440</v>
      </c>
      <c r="H595" t="s">
        <v>17</v>
      </c>
      <c r="I595" t="s">
        <v>18</v>
      </c>
      <c r="J595" t="str">
        <f>"5145166947"</f>
        <v>5145166947</v>
      </c>
      <c r="K595" t="s">
        <v>2441</v>
      </c>
      <c r="L595" t="s">
        <v>168</v>
      </c>
      <c r="M595" t="s">
        <v>21</v>
      </c>
    </row>
    <row r="596" spans="1:13" x14ac:dyDescent="0.35">
      <c r="A596" t="str">
        <f>"218-7902"</f>
        <v>218-7902</v>
      </c>
      <c r="B596" t="s">
        <v>2442</v>
      </c>
      <c r="C596" t="str">
        <f>"11990"</f>
        <v>11990</v>
      </c>
      <c r="D596" t="str">
        <f>"202"</f>
        <v>202</v>
      </c>
      <c r="E596" t="s">
        <v>2443</v>
      </c>
      <c r="F596" t="s">
        <v>24</v>
      </c>
      <c r="G596" t="s">
        <v>2444</v>
      </c>
      <c r="H596" t="s">
        <v>17</v>
      </c>
      <c r="I596" t="s">
        <v>18</v>
      </c>
      <c r="J596" t="str">
        <f>"4389854986"</f>
        <v>4389854986</v>
      </c>
      <c r="K596" t="s">
        <v>2445</v>
      </c>
      <c r="L596" t="s">
        <v>76</v>
      </c>
      <c r="M596" t="s">
        <v>21</v>
      </c>
    </row>
    <row r="597" spans="1:13" x14ac:dyDescent="0.35">
      <c r="A597" t="str">
        <f>"222-4980"</f>
        <v>222-4980</v>
      </c>
      <c r="B597" t="s">
        <v>2446</v>
      </c>
      <c r="C597" t="str">
        <f>"6087"</f>
        <v>6087</v>
      </c>
      <c r="E597" t="s">
        <v>1208</v>
      </c>
      <c r="F597" t="s">
        <v>24</v>
      </c>
      <c r="G597" t="s">
        <v>2447</v>
      </c>
      <c r="H597" t="s">
        <v>17</v>
      </c>
      <c r="I597" t="s">
        <v>18</v>
      </c>
      <c r="J597" t="str">
        <f>"5149183768"</f>
        <v>5149183768</v>
      </c>
      <c r="K597" t="s">
        <v>2448</v>
      </c>
      <c r="L597" t="s">
        <v>997</v>
      </c>
      <c r="M597" t="s">
        <v>21</v>
      </c>
    </row>
    <row r="598" spans="1:13" x14ac:dyDescent="0.35">
      <c r="A598" t="str">
        <f>"221-8343"</f>
        <v>221-8343</v>
      </c>
      <c r="B598" t="s">
        <v>2449</v>
      </c>
      <c r="C598" t="str">
        <f>"3469"</f>
        <v>3469</v>
      </c>
      <c r="D598" t="str">
        <f>"223"</f>
        <v>223</v>
      </c>
      <c r="E598" t="s">
        <v>455</v>
      </c>
      <c r="F598" t="s">
        <v>24</v>
      </c>
      <c r="G598" t="s">
        <v>1097</v>
      </c>
      <c r="H598" t="s">
        <v>17</v>
      </c>
      <c r="I598" t="s">
        <v>18</v>
      </c>
      <c r="J598" t="str">
        <f>"4384657189"</f>
        <v>4384657189</v>
      </c>
      <c r="K598" t="s">
        <v>2450</v>
      </c>
      <c r="L598" t="s">
        <v>168</v>
      </c>
      <c r="M598" t="s">
        <v>21</v>
      </c>
    </row>
    <row r="599" spans="1:13" x14ac:dyDescent="0.35">
      <c r="A599" t="str">
        <f>"222-6663"</f>
        <v>222-6663</v>
      </c>
      <c r="B599" t="s">
        <v>2452</v>
      </c>
      <c r="C599" t="str">
        <f>"6065"</f>
        <v>6065</v>
      </c>
      <c r="E599" t="s">
        <v>2453</v>
      </c>
      <c r="F599" t="s">
        <v>256</v>
      </c>
      <c r="G599" t="s">
        <v>2454</v>
      </c>
      <c r="H599" t="s">
        <v>17</v>
      </c>
      <c r="I599" t="s">
        <v>18</v>
      </c>
      <c r="J599" t="str">
        <f>"5148851662"</f>
        <v>5148851662</v>
      </c>
      <c r="K599" t="s">
        <v>2455</v>
      </c>
      <c r="L599" t="s">
        <v>20</v>
      </c>
      <c r="M599" t="s">
        <v>21</v>
      </c>
    </row>
    <row r="600" spans="1:13" x14ac:dyDescent="0.35">
      <c r="A600" t="str">
        <f>"092-5835"</f>
        <v>092-5835</v>
      </c>
      <c r="B600" t="s">
        <v>2456</v>
      </c>
      <c r="C600" t="str">
        <f>"9050"</f>
        <v>9050</v>
      </c>
      <c r="E600" t="s">
        <v>905</v>
      </c>
      <c r="F600" t="s">
        <v>24</v>
      </c>
      <c r="G600" t="s">
        <v>906</v>
      </c>
      <c r="H600" t="s">
        <v>17</v>
      </c>
      <c r="I600" t="s">
        <v>18</v>
      </c>
      <c r="J600" t="str">
        <f>"5144420510"</f>
        <v>5144420510</v>
      </c>
      <c r="K600" t="s">
        <v>2457</v>
      </c>
      <c r="L600" t="s">
        <v>29</v>
      </c>
      <c r="M600" t="s">
        <v>21</v>
      </c>
    </row>
    <row r="601" spans="1:13" x14ac:dyDescent="0.35">
      <c r="A601" t="str">
        <f>"223-4347"</f>
        <v>223-4347</v>
      </c>
      <c r="B601" t="s">
        <v>2458</v>
      </c>
      <c r="C601" t="str">
        <f>"863"</f>
        <v>863</v>
      </c>
      <c r="D601" t="str">
        <f>"1"</f>
        <v>1</v>
      </c>
      <c r="E601" t="s">
        <v>2459</v>
      </c>
      <c r="F601" t="s">
        <v>157</v>
      </c>
      <c r="G601" t="s">
        <v>2460</v>
      </c>
      <c r="H601" t="s">
        <v>17</v>
      </c>
      <c r="I601" t="s">
        <v>18</v>
      </c>
      <c r="J601" t="str">
        <f>"4388664494"</f>
        <v>4388664494</v>
      </c>
      <c r="K601" t="s">
        <v>2461</v>
      </c>
      <c r="L601" t="s">
        <v>350</v>
      </c>
      <c r="M601" t="s">
        <v>21</v>
      </c>
    </row>
    <row r="602" spans="1:13" x14ac:dyDescent="0.35">
      <c r="A602" t="str">
        <f>"230-0266"</f>
        <v>230-0266</v>
      </c>
      <c r="B602" t="s">
        <v>2462</v>
      </c>
      <c r="C602" t="str">
        <f>"2650"</f>
        <v>2650</v>
      </c>
      <c r="E602" t="s">
        <v>2463</v>
      </c>
      <c r="F602" t="s">
        <v>24</v>
      </c>
      <c r="G602" t="s">
        <v>2464</v>
      </c>
      <c r="H602" t="s">
        <v>17</v>
      </c>
      <c r="I602" t="s">
        <v>18</v>
      </c>
      <c r="J602" t="str">
        <f>"4385261181"</f>
        <v>4385261181</v>
      </c>
      <c r="K602" t="s">
        <v>2465</v>
      </c>
      <c r="L602" t="s">
        <v>76</v>
      </c>
      <c r="M602" t="s">
        <v>21</v>
      </c>
    </row>
    <row r="603" spans="1:13" x14ac:dyDescent="0.35">
      <c r="A603" t="str">
        <f>"224-4268"</f>
        <v>224-4268</v>
      </c>
      <c r="B603" t="s">
        <v>2466</v>
      </c>
      <c r="C603" t="str">
        <f>"916"</f>
        <v>916</v>
      </c>
      <c r="E603" t="s">
        <v>2467</v>
      </c>
      <c r="F603" t="s">
        <v>2468</v>
      </c>
      <c r="G603" t="s">
        <v>2469</v>
      </c>
      <c r="H603" t="s">
        <v>17</v>
      </c>
      <c r="I603" t="s">
        <v>18</v>
      </c>
      <c r="J603" t="str">
        <f>"4508038991"</f>
        <v>4508038991</v>
      </c>
      <c r="K603" t="s">
        <v>2470</v>
      </c>
      <c r="L603" t="s">
        <v>29</v>
      </c>
      <c r="M603" t="s">
        <v>21</v>
      </c>
    </row>
    <row r="604" spans="1:13" x14ac:dyDescent="0.35">
      <c r="A604" t="str">
        <f>"224-8290"</f>
        <v>224-8290</v>
      </c>
      <c r="B604" t="s">
        <v>2472</v>
      </c>
      <c r="C604" t="str">
        <f>"3469"</f>
        <v>3469</v>
      </c>
      <c r="D604" t="str">
        <f>"355"</f>
        <v>355</v>
      </c>
      <c r="E604" t="s">
        <v>455</v>
      </c>
      <c r="F604" t="s">
        <v>24</v>
      </c>
      <c r="G604" t="s">
        <v>1097</v>
      </c>
      <c r="H604" t="s">
        <v>17</v>
      </c>
      <c r="I604" t="s">
        <v>18</v>
      </c>
      <c r="J604" t="str">
        <f>"4382215512"</f>
        <v>4382215512</v>
      </c>
      <c r="K604" t="s">
        <v>2473</v>
      </c>
      <c r="L604" t="s">
        <v>168</v>
      </c>
      <c r="M604" t="s">
        <v>21</v>
      </c>
    </row>
    <row r="605" spans="1:13" x14ac:dyDescent="0.35">
      <c r="A605" t="str">
        <f>"975-9152"</f>
        <v>975-9152</v>
      </c>
      <c r="B605" t="s">
        <v>2474</v>
      </c>
      <c r="C605" t="str">
        <f>"15500"</f>
        <v>15500</v>
      </c>
      <c r="D605" t="str">
        <f>"92"</f>
        <v>92</v>
      </c>
      <c r="E605" t="s">
        <v>597</v>
      </c>
      <c r="F605" t="s">
        <v>24</v>
      </c>
      <c r="G605" t="s">
        <v>2475</v>
      </c>
      <c r="H605" t="s">
        <v>17</v>
      </c>
      <c r="I605" t="s">
        <v>18</v>
      </c>
      <c r="J605" t="str">
        <f>"5147566834"</f>
        <v>5147566834</v>
      </c>
      <c r="K605" t="s">
        <v>2476</v>
      </c>
      <c r="L605" t="s">
        <v>29</v>
      </c>
      <c r="M605" t="s">
        <v>21</v>
      </c>
    </row>
    <row r="606" spans="1:13" x14ac:dyDescent="0.35">
      <c r="A606" t="str">
        <f>"225-4959"</f>
        <v>225-4959</v>
      </c>
      <c r="B606" t="s">
        <v>2477</v>
      </c>
      <c r="C606" t="str">
        <f>"3469"</f>
        <v>3469</v>
      </c>
      <c r="D606" t="str">
        <f>"119"</f>
        <v>119</v>
      </c>
      <c r="E606" t="s">
        <v>455</v>
      </c>
      <c r="F606" t="s">
        <v>24</v>
      </c>
      <c r="G606" t="s">
        <v>1097</v>
      </c>
      <c r="H606" t="s">
        <v>17</v>
      </c>
      <c r="I606" t="s">
        <v>18</v>
      </c>
      <c r="J606" t="str">
        <f>"4389512967"</f>
        <v>4389512967</v>
      </c>
      <c r="K606" t="s">
        <v>2478</v>
      </c>
      <c r="L606" t="s">
        <v>396</v>
      </c>
      <c r="M606" t="s">
        <v>21</v>
      </c>
    </row>
    <row r="607" spans="1:13" x14ac:dyDescent="0.35">
      <c r="A607" t="str">
        <f>"222-7118"</f>
        <v>222-7118</v>
      </c>
      <c r="B607" t="s">
        <v>2479</v>
      </c>
      <c r="C607" t="str">
        <f>"2770"</f>
        <v>2770</v>
      </c>
      <c r="D607" t="str">
        <f>"613"</f>
        <v>613</v>
      </c>
      <c r="E607" t="s">
        <v>2480</v>
      </c>
      <c r="F607" t="s">
        <v>24</v>
      </c>
      <c r="G607" t="s">
        <v>2481</v>
      </c>
      <c r="H607" t="s">
        <v>17</v>
      </c>
      <c r="I607" t="s">
        <v>18</v>
      </c>
      <c r="J607" t="str">
        <f>"4383040992"</f>
        <v>4383040992</v>
      </c>
      <c r="K607" t="s">
        <v>2482</v>
      </c>
      <c r="L607" t="s">
        <v>76</v>
      </c>
      <c r="M607" t="s">
        <v>21</v>
      </c>
    </row>
    <row r="608" spans="1:13" x14ac:dyDescent="0.35">
      <c r="A608" t="str">
        <f>"222-7220"</f>
        <v>222-7220</v>
      </c>
      <c r="B608" t="s">
        <v>2483</v>
      </c>
      <c r="C608" t="str">
        <f>"3469"</f>
        <v>3469</v>
      </c>
      <c r="D608" t="str">
        <f>"135"</f>
        <v>135</v>
      </c>
      <c r="E608" t="s">
        <v>2484</v>
      </c>
      <c r="F608" t="s">
        <v>24</v>
      </c>
      <c r="G608" t="s">
        <v>1097</v>
      </c>
      <c r="H608" t="s">
        <v>17</v>
      </c>
      <c r="I608" t="s">
        <v>18</v>
      </c>
      <c r="J608" t="str">
        <f>"5149956256"</f>
        <v>5149956256</v>
      </c>
      <c r="K608" t="s">
        <v>2485</v>
      </c>
      <c r="L608" t="s">
        <v>193</v>
      </c>
      <c r="M608" t="s">
        <v>21</v>
      </c>
    </row>
    <row r="609" spans="1:13" x14ac:dyDescent="0.35">
      <c r="A609" t="str">
        <f>"224-7624"</f>
        <v>224-7624</v>
      </c>
      <c r="B609" t="s">
        <v>2486</v>
      </c>
      <c r="C609" t="str">
        <f>"2236"</f>
        <v>2236</v>
      </c>
      <c r="E609" t="s">
        <v>2487</v>
      </c>
      <c r="F609" t="s">
        <v>54</v>
      </c>
      <c r="G609" t="s">
        <v>2488</v>
      </c>
      <c r="H609" t="s">
        <v>17</v>
      </c>
      <c r="I609" t="s">
        <v>18</v>
      </c>
      <c r="J609" t="str">
        <f>"4383726804"</f>
        <v>4383726804</v>
      </c>
      <c r="K609" t="s">
        <v>2489</v>
      </c>
      <c r="L609" t="s">
        <v>76</v>
      </c>
      <c r="M609" t="s">
        <v>21</v>
      </c>
    </row>
    <row r="610" spans="1:13" x14ac:dyDescent="0.35">
      <c r="A610" t="str">
        <f>"230-0262"</f>
        <v>230-0262</v>
      </c>
      <c r="B610" t="s">
        <v>2490</v>
      </c>
      <c r="C610" t="str">
        <f>"7409"</f>
        <v>7409</v>
      </c>
      <c r="E610" t="s">
        <v>527</v>
      </c>
      <c r="F610" t="s">
        <v>24</v>
      </c>
      <c r="G610" t="s">
        <v>2491</v>
      </c>
      <c r="H610" t="s">
        <v>17</v>
      </c>
      <c r="I610" t="s">
        <v>18</v>
      </c>
      <c r="J610" t="str">
        <f>"5143761620"</f>
        <v>5143761620</v>
      </c>
      <c r="K610" t="s">
        <v>2492</v>
      </c>
      <c r="L610" t="s">
        <v>168</v>
      </c>
      <c r="M610" t="s">
        <v>21</v>
      </c>
    </row>
    <row r="611" spans="1:13" x14ac:dyDescent="0.35">
      <c r="A611" t="str">
        <f>"150-8084"</f>
        <v>150-8084</v>
      </c>
      <c r="B611" t="s">
        <v>2493</v>
      </c>
      <c r="C611" t="str">
        <f>"235"</f>
        <v>235</v>
      </c>
      <c r="D611" t="str">
        <f>"1506"</f>
        <v>1506</v>
      </c>
      <c r="E611" t="s">
        <v>2494</v>
      </c>
      <c r="F611" t="s">
        <v>24</v>
      </c>
      <c r="G611" t="s">
        <v>2495</v>
      </c>
      <c r="H611" t="s">
        <v>17</v>
      </c>
      <c r="I611" t="s">
        <v>18</v>
      </c>
      <c r="J611" t="str">
        <f>"4383414856"</f>
        <v>4383414856</v>
      </c>
      <c r="K611" t="s">
        <v>2496</v>
      </c>
      <c r="L611" t="s">
        <v>2497</v>
      </c>
      <c r="M611" t="s">
        <v>21</v>
      </c>
    </row>
    <row r="612" spans="1:13" x14ac:dyDescent="0.35">
      <c r="A612" t="str">
        <f>"143-7601"</f>
        <v>143-7601</v>
      </c>
      <c r="B612" t="s">
        <v>2498</v>
      </c>
      <c r="C612" t="str">
        <f>"17"</f>
        <v>17</v>
      </c>
      <c r="D612" t="str">
        <f>"1"</f>
        <v>1</v>
      </c>
      <c r="E612" t="s">
        <v>2499</v>
      </c>
      <c r="F612" t="s">
        <v>2500</v>
      </c>
      <c r="G612" t="s">
        <v>2501</v>
      </c>
      <c r="H612" t="s">
        <v>17</v>
      </c>
      <c r="I612" t="s">
        <v>18</v>
      </c>
      <c r="J612" t="str">
        <f>"5142673685"</f>
        <v>5142673685</v>
      </c>
      <c r="K612" t="s">
        <v>2502</v>
      </c>
      <c r="L612" t="s">
        <v>39</v>
      </c>
      <c r="M612" t="s">
        <v>21</v>
      </c>
    </row>
    <row r="613" spans="1:13" x14ac:dyDescent="0.35">
      <c r="A613" t="str">
        <f>"213-7875"</f>
        <v>213-7875</v>
      </c>
      <c r="B613" t="s">
        <v>2503</v>
      </c>
      <c r="C613" t="str">
        <f>"2170"</f>
        <v>2170</v>
      </c>
      <c r="D613" t="str">
        <f>"306"</f>
        <v>306</v>
      </c>
      <c r="E613" t="s">
        <v>2504</v>
      </c>
      <c r="F613" t="s">
        <v>1506</v>
      </c>
      <c r="G613" t="s">
        <v>2505</v>
      </c>
      <c r="H613" t="s">
        <v>17</v>
      </c>
      <c r="I613" t="s">
        <v>18</v>
      </c>
      <c r="J613" t="str">
        <f>"4388734569"</f>
        <v>4388734569</v>
      </c>
      <c r="K613" t="s">
        <v>2506</v>
      </c>
      <c r="L613" t="s">
        <v>39</v>
      </c>
      <c r="M613" t="s">
        <v>21</v>
      </c>
    </row>
    <row r="614" spans="1:13" x14ac:dyDescent="0.35">
      <c r="A614" t="str">
        <f>"218-0392"</f>
        <v>218-0392</v>
      </c>
      <c r="B614" t="s">
        <v>2507</v>
      </c>
      <c r="C614" t="str">
        <f>"6415"</f>
        <v>6415</v>
      </c>
      <c r="E614" t="s">
        <v>642</v>
      </c>
      <c r="F614" t="s">
        <v>24</v>
      </c>
      <c r="G614" t="s">
        <v>2108</v>
      </c>
      <c r="H614" t="s">
        <v>17</v>
      </c>
      <c r="I614" t="s">
        <v>18</v>
      </c>
      <c r="J614" t="str">
        <f>"4382232785"</f>
        <v>4382232785</v>
      </c>
      <c r="K614" t="s">
        <v>2508</v>
      </c>
      <c r="L614" t="s">
        <v>29</v>
      </c>
      <c r="M614" t="s">
        <v>21</v>
      </c>
    </row>
    <row r="615" spans="1:13" x14ac:dyDescent="0.35">
      <c r="A615" t="str">
        <f>"224-7697"</f>
        <v>224-7697</v>
      </c>
      <c r="B615" t="s">
        <v>2509</v>
      </c>
      <c r="C615" t="str">
        <f>"9295"</f>
        <v>9295</v>
      </c>
      <c r="E615" t="s">
        <v>2510</v>
      </c>
      <c r="F615" t="s">
        <v>24</v>
      </c>
      <c r="G615" t="s">
        <v>2511</v>
      </c>
      <c r="H615" t="s">
        <v>17</v>
      </c>
      <c r="I615" t="s">
        <v>18</v>
      </c>
      <c r="J615" t="str">
        <f>"4384934249"</f>
        <v>4384934249</v>
      </c>
      <c r="K615" t="s">
        <v>2512</v>
      </c>
      <c r="L615" t="s">
        <v>27</v>
      </c>
      <c r="M615" t="s">
        <v>21</v>
      </c>
    </row>
    <row r="616" spans="1:13" x14ac:dyDescent="0.35">
      <c r="A616" t="str">
        <f>"225-6855"</f>
        <v>225-6855</v>
      </c>
      <c r="B616" t="s">
        <v>2513</v>
      </c>
      <c r="C616" t="str">
        <f>"1855"</f>
        <v>1855</v>
      </c>
      <c r="D616" t="str">
        <f>"304"</f>
        <v>304</v>
      </c>
      <c r="E616" t="s">
        <v>250</v>
      </c>
      <c r="F616" t="s">
        <v>24</v>
      </c>
      <c r="G616" t="s">
        <v>2514</v>
      </c>
      <c r="H616" t="s">
        <v>17</v>
      </c>
      <c r="I616" t="s">
        <v>18</v>
      </c>
      <c r="J616" t="str">
        <f>"5148350302"</f>
        <v>5148350302</v>
      </c>
      <c r="K616" t="s">
        <v>2515</v>
      </c>
      <c r="L616" t="s">
        <v>350</v>
      </c>
      <c r="M616" t="s">
        <v>21</v>
      </c>
    </row>
    <row r="617" spans="1:13" x14ac:dyDescent="0.35">
      <c r="A617" t="str">
        <f>"227-9094"</f>
        <v>227-9094</v>
      </c>
      <c r="B617" t="s">
        <v>2518</v>
      </c>
      <c r="C617" t="str">
        <f>"7101"</f>
        <v>7101</v>
      </c>
      <c r="D617" t="str">
        <f>"103"</f>
        <v>103</v>
      </c>
      <c r="E617" t="s">
        <v>2519</v>
      </c>
      <c r="F617" t="s">
        <v>24</v>
      </c>
      <c r="G617" t="s">
        <v>2520</v>
      </c>
      <c r="H617" t="s">
        <v>17</v>
      </c>
      <c r="I617" t="s">
        <v>18</v>
      </c>
      <c r="J617" t="str">
        <f>"4384060839"</f>
        <v>4384060839</v>
      </c>
      <c r="K617" t="s">
        <v>2521</v>
      </c>
      <c r="L617" t="s">
        <v>284</v>
      </c>
      <c r="M617" t="s">
        <v>21</v>
      </c>
    </row>
    <row r="618" spans="1:13" x14ac:dyDescent="0.35">
      <c r="A618" t="str">
        <f>"228-4728"</f>
        <v>228-4728</v>
      </c>
      <c r="B618" t="s">
        <v>2522</v>
      </c>
      <c r="C618" t="str">
        <f>"7131"</f>
        <v>7131</v>
      </c>
      <c r="E618" t="s">
        <v>2523</v>
      </c>
      <c r="F618" t="s">
        <v>24</v>
      </c>
      <c r="G618" t="s">
        <v>2524</v>
      </c>
      <c r="H618" t="s">
        <v>17</v>
      </c>
      <c r="I618" t="s">
        <v>18</v>
      </c>
      <c r="J618" t="str">
        <f>"4383453449"</f>
        <v>4383453449</v>
      </c>
      <c r="K618" t="s">
        <v>2525</v>
      </c>
      <c r="L618" t="s">
        <v>220</v>
      </c>
      <c r="M618" t="s">
        <v>21</v>
      </c>
    </row>
    <row r="619" spans="1:13" x14ac:dyDescent="0.35">
      <c r="A619" t="str">
        <f>"229-0441"</f>
        <v>229-0441</v>
      </c>
      <c r="B619" t="s">
        <v>2526</v>
      </c>
      <c r="C619" t="str">
        <f>"5995"</f>
        <v>5995</v>
      </c>
      <c r="D619" t="str">
        <f>"523"</f>
        <v>523</v>
      </c>
      <c r="E619" t="s">
        <v>1671</v>
      </c>
      <c r="F619" t="s">
        <v>24</v>
      </c>
      <c r="G619" t="s">
        <v>2527</v>
      </c>
      <c r="H619" t="s">
        <v>17</v>
      </c>
      <c r="I619" t="s">
        <v>18</v>
      </c>
      <c r="J619" t="str">
        <f>"5148399558"</f>
        <v>5148399558</v>
      </c>
      <c r="K619" t="s">
        <v>2528</v>
      </c>
      <c r="L619" t="s">
        <v>396</v>
      </c>
      <c r="M619" t="s">
        <v>21</v>
      </c>
    </row>
    <row r="620" spans="1:13" x14ac:dyDescent="0.35">
      <c r="A620" t="str">
        <f>"611-8946"</f>
        <v>611-8946</v>
      </c>
      <c r="B620" t="s">
        <v>2529</v>
      </c>
      <c r="C620" t="str">
        <f>"426"</f>
        <v>426</v>
      </c>
      <c r="E620" t="s">
        <v>2530</v>
      </c>
      <c r="F620" t="s">
        <v>2148</v>
      </c>
      <c r="G620" t="s">
        <v>2531</v>
      </c>
      <c r="H620" t="s">
        <v>17</v>
      </c>
      <c r="I620" t="s">
        <v>18</v>
      </c>
      <c r="J620" t="str">
        <f>"4388247404"</f>
        <v>4388247404</v>
      </c>
      <c r="K620" t="s">
        <v>2532</v>
      </c>
      <c r="L620" t="s">
        <v>313</v>
      </c>
      <c r="M620" t="s">
        <v>21</v>
      </c>
    </row>
    <row r="621" spans="1:13" x14ac:dyDescent="0.35">
      <c r="A621" t="str">
        <f>"082-7058"</f>
        <v>082-7058</v>
      </c>
      <c r="B621" t="s">
        <v>2534</v>
      </c>
      <c r="C621" t="str">
        <f>"1142"</f>
        <v>1142</v>
      </c>
      <c r="E621" t="s">
        <v>2535</v>
      </c>
      <c r="F621" t="s">
        <v>2536</v>
      </c>
      <c r="G621" t="s">
        <v>2537</v>
      </c>
      <c r="H621" t="s">
        <v>17</v>
      </c>
      <c r="I621" t="s">
        <v>18</v>
      </c>
      <c r="J621" t="str">
        <f>"5147142430"</f>
        <v>5147142430</v>
      </c>
      <c r="K621" t="s">
        <v>2538</v>
      </c>
      <c r="L621" t="s">
        <v>20</v>
      </c>
      <c r="M621" t="s">
        <v>21</v>
      </c>
    </row>
    <row r="622" spans="1:13" x14ac:dyDescent="0.35">
      <c r="A622" t="str">
        <f>"095-7093"</f>
        <v>095-7093</v>
      </c>
      <c r="B622" t="s">
        <v>2539</v>
      </c>
      <c r="C622" t="str">
        <f>"3253"</f>
        <v>3253</v>
      </c>
      <c r="E622" t="s">
        <v>2540</v>
      </c>
      <c r="F622" t="s">
        <v>24</v>
      </c>
      <c r="G622" t="s">
        <v>2541</v>
      </c>
      <c r="H622" t="s">
        <v>17</v>
      </c>
      <c r="I622" t="s">
        <v>18</v>
      </c>
      <c r="J622" t="str">
        <f>"5146631314"</f>
        <v>5146631314</v>
      </c>
      <c r="K622" t="s">
        <v>2542</v>
      </c>
      <c r="L622" t="s">
        <v>20</v>
      </c>
      <c r="M622" t="s">
        <v>21</v>
      </c>
    </row>
    <row r="623" spans="1:13" x14ac:dyDescent="0.35">
      <c r="A623" t="str">
        <f>"076-2513"</f>
        <v>076-2513</v>
      </c>
      <c r="B623" t="s">
        <v>2543</v>
      </c>
      <c r="C623" t="str">
        <f>"730B"</f>
        <v>730B</v>
      </c>
      <c r="D623" t="str">
        <f>"108"</f>
        <v>108</v>
      </c>
      <c r="E623" t="s">
        <v>2544</v>
      </c>
      <c r="F623" t="s">
        <v>32</v>
      </c>
      <c r="G623" t="s">
        <v>2545</v>
      </c>
      <c r="H623" t="s">
        <v>17</v>
      </c>
      <c r="I623" t="s">
        <v>18</v>
      </c>
      <c r="J623" t="str">
        <f>"4382750698"</f>
        <v>4382750698</v>
      </c>
      <c r="K623" t="s">
        <v>2546</v>
      </c>
      <c r="L623" t="s">
        <v>20</v>
      </c>
      <c r="M623" t="s">
        <v>21</v>
      </c>
    </row>
    <row r="624" spans="1:13" x14ac:dyDescent="0.35">
      <c r="A624" t="str">
        <f>"077-8632"</f>
        <v>077-8632</v>
      </c>
      <c r="B624" t="s">
        <v>2547</v>
      </c>
      <c r="C624" t="str">
        <f>"1328"</f>
        <v>1328</v>
      </c>
      <c r="E624" t="s">
        <v>2548</v>
      </c>
      <c r="F624" t="s">
        <v>157</v>
      </c>
      <c r="G624" t="s">
        <v>2549</v>
      </c>
      <c r="H624" t="s">
        <v>17</v>
      </c>
      <c r="I624" t="s">
        <v>18</v>
      </c>
      <c r="J624" t="str">
        <f>"5146068049"</f>
        <v>5146068049</v>
      </c>
      <c r="K624" t="s">
        <v>2550</v>
      </c>
      <c r="L624" t="s">
        <v>20</v>
      </c>
      <c r="M624" t="s">
        <v>21</v>
      </c>
    </row>
    <row r="625" spans="1:13" x14ac:dyDescent="0.35">
      <c r="A625" t="str">
        <f>"155-9439"</f>
        <v>155-9439</v>
      </c>
      <c r="B625" t="s">
        <v>2551</v>
      </c>
      <c r="C625" t="str">
        <f>"331"</f>
        <v>331</v>
      </c>
      <c r="E625" t="s">
        <v>2552</v>
      </c>
      <c r="F625" t="s">
        <v>2553</v>
      </c>
      <c r="G625" t="s">
        <v>2554</v>
      </c>
      <c r="H625" t="s">
        <v>17</v>
      </c>
      <c r="I625" t="s">
        <v>18</v>
      </c>
      <c r="J625" t="str">
        <f>"8194520627"</f>
        <v>8194520627</v>
      </c>
      <c r="K625" t="s">
        <v>2555</v>
      </c>
      <c r="L625" t="s">
        <v>20</v>
      </c>
      <c r="M625" t="s">
        <v>21</v>
      </c>
    </row>
    <row r="626" spans="1:13" x14ac:dyDescent="0.35">
      <c r="A626" t="str">
        <f>"204-8812"</f>
        <v>204-8812</v>
      </c>
      <c r="B626" t="s">
        <v>2556</v>
      </c>
      <c r="C626" t="str">
        <f>"112"</f>
        <v>112</v>
      </c>
      <c r="E626" t="s">
        <v>477</v>
      </c>
      <c r="F626" t="s">
        <v>32</v>
      </c>
      <c r="G626" t="s">
        <v>2557</v>
      </c>
      <c r="H626" t="s">
        <v>17</v>
      </c>
      <c r="I626" t="s">
        <v>18</v>
      </c>
      <c r="J626" t="str">
        <f>"4389277303"</f>
        <v>4389277303</v>
      </c>
      <c r="K626" t="s">
        <v>2558</v>
      </c>
      <c r="L626" t="s">
        <v>350</v>
      </c>
      <c r="M626" t="s">
        <v>21</v>
      </c>
    </row>
    <row r="627" spans="1:13" x14ac:dyDescent="0.35">
      <c r="A627" t="str">
        <f>"205-1652"</f>
        <v>205-1652</v>
      </c>
      <c r="B627" t="s">
        <v>2559</v>
      </c>
      <c r="C627" t="str">
        <f>"1650"</f>
        <v>1650</v>
      </c>
      <c r="E627" t="s">
        <v>2560</v>
      </c>
      <c r="F627" t="s">
        <v>24</v>
      </c>
      <c r="G627" t="s">
        <v>2561</v>
      </c>
      <c r="H627" t="s">
        <v>17</v>
      </c>
      <c r="I627" t="s">
        <v>18</v>
      </c>
      <c r="J627" t="str">
        <f>"4388734840"</f>
        <v>4388734840</v>
      </c>
      <c r="K627" t="s">
        <v>2562</v>
      </c>
      <c r="L627" t="s">
        <v>20</v>
      </c>
      <c r="M627" t="s">
        <v>21</v>
      </c>
    </row>
    <row r="628" spans="1:13" x14ac:dyDescent="0.35">
      <c r="A628" t="str">
        <f>"205-2608"</f>
        <v>205-2608</v>
      </c>
      <c r="B628" t="s">
        <v>2563</v>
      </c>
      <c r="C628" t="str">
        <f>"582"</f>
        <v>582</v>
      </c>
      <c r="E628" t="s">
        <v>2564</v>
      </c>
      <c r="F628" t="s">
        <v>157</v>
      </c>
      <c r="G628" t="s">
        <v>2565</v>
      </c>
      <c r="H628" t="s">
        <v>17</v>
      </c>
      <c r="I628" t="s">
        <v>18</v>
      </c>
      <c r="J628" t="str">
        <f>"4385010901"</f>
        <v>4385010901</v>
      </c>
      <c r="K628" t="s">
        <v>2566</v>
      </c>
      <c r="L628" t="s">
        <v>39</v>
      </c>
      <c r="M628" t="s">
        <v>21</v>
      </c>
    </row>
    <row r="629" spans="1:13" x14ac:dyDescent="0.35">
      <c r="A629" t="str">
        <f>"214-3609"</f>
        <v>214-3609</v>
      </c>
      <c r="B629" t="s">
        <v>2567</v>
      </c>
      <c r="C629" t="str">
        <f>"5454"</f>
        <v>5454</v>
      </c>
      <c r="E629" t="s">
        <v>2419</v>
      </c>
      <c r="F629" t="s">
        <v>24</v>
      </c>
      <c r="G629" t="s">
        <v>2568</v>
      </c>
      <c r="H629" t="s">
        <v>17</v>
      </c>
      <c r="I629" t="s">
        <v>18</v>
      </c>
      <c r="J629" t="str">
        <f>"4385402131"</f>
        <v>4385402131</v>
      </c>
      <c r="K629" t="s">
        <v>2569</v>
      </c>
      <c r="L629" t="s">
        <v>203</v>
      </c>
      <c r="M629" t="s">
        <v>21</v>
      </c>
    </row>
    <row r="630" spans="1:13" x14ac:dyDescent="0.35">
      <c r="A630" t="str">
        <f>"223-9442"</f>
        <v>223-9442</v>
      </c>
      <c r="B630" t="s">
        <v>2570</v>
      </c>
      <c r="C630" t="str">
        <f>"4741"</f>
        <v>4741</v>
      </c>
      <c r="E630" t="s">
        <v>2571</v>
      </c>
      <c r="F630" t="s">
        <v>157</v>
      </c>
      <c r="G630" t="s">
        <v>2572</v>
      </c>
      <c r="H630" t="s">
        <v>17</v>
      </c>
      <c r="I630" t="s">
        <v>18</v>
      </c>
      <c r="J630" t="str">
        <f>"4384963126"</f>
        <v>4384963126</v>
      </c>
      <c r="K630" t="s">
        <v>2573</v>
      </c>
      <c r="L630" t="s">
        <v>350</v>
      </c>
      <c r="M630" t="s">
        <v>21</v>
      </c>
    </row>
    <row r="631" spans="1:13" x14ac:dyDescent="0.35">
      <c r="A631" t="str">
        <f>"225-3388"</f>
        <v>225-3388</v>
      </c>
      <c r="B631" t="s">
        <v>2574</v>
      </c>
      <c r="C631" t="str">
        <f>"4315"</f>
        <v>4315</v>
      </c>
      <c r="E631" t="s">
        <v>2575</v>
      </c>
      <c r="F631" t="s">
        <v>24</v>
      </c>
      <c r="G631" t="s">
        <v>2576</v>
      </c>
      <c r="H631" t="s">
        <v>17</v>
      </c>
      <c r="I631" t="s">
        <v>18</v>
      </c>
      <c r="J631" t="str">
        <f>"5149631361"</f>
        <v>5149631361</v>
      </c>
      <c r="K631" t="s">
        <v>2577</v>
      </c>
      <c r="L631" t="s">
        <v>39</v>
      </c>
      <c r="M631" t="s">
        <v>21</v>
      </c>
    </row>
    <row r="632" spans="1:13" x14ac:dyDescent="0.35">
      <c r="A632" t="str">
        <f>"226-2718"</f>
        <v>226-2718</v>
      </c>
      <c r="B632" t="s">
        <v>2578</v>
      </c>
      <c r="C632" t="str">
        <f>"37"</f>
        <v>37</v>
      </c>
      <c r="E632" t="s">
        <v>2579</v>
      </c>
      <c r="F632" t="s">
        <v>2580</v>
      </c>
      <c r="G632" t="s">
        <v>2581</v>
      </c>
      <c r="H632" t="s">
        <v>17</v>
      </c>
      <c r="I632" t="s">
        <v>18</v>
      </c>
      <c r="J632" t="str">
        <f>"4384993144"</f>
        <v>4384993144</v>
      </c>
      <c r="K632" t="s">
        <v>2582</v>
      </c>
      <c r="L632" t="s">
        <v>350</v>
      </c>
      <c r="M632" t="s">
        <v>21</v>
      </c>
    </row>
    <row r="633" spans="1:13" x14ac:dyDescent="0.35">
      <c r="A633" t="str">
        <f>"226-3428"</f>
        <v>226-3428</v>
      </c>
      <c r="B633" t="s">
        <v>2583</v>
      </c>
      <c r="C633" t="str">
        <f>"3805"</f>
        <v>3805</v>
      </c>
      <c r="E633" t="s">
        <v>2584</v>
      </c>
      <c r="F633" t="s">
        <v>24</v>
      </c>
      <c r="G633" t="s">
        <v>2585</v>
      </c>
      <c r="H633" t="s">
        <v>17</v>
      </c>
      <c r="I633" t="s">
        <v>18</v>
      </c>
      <c r="J633" t="str">
        <f>"4384950772"</f>
        <v>4384950772</v>
      </c>
      <c r="K633" t="s">
        <v>2586</v>
      </c>
      <c r="L633" t="s">
        <v>2316</v>
      </c>
      <c r="M633" t="s">
        <v>21</v>
      </c>
    </row>
    <row r="634" spans="1:13" x14ac:dyDescent="0.35">
      <c r="A634" t="str">
        <f>"153-8353"</f>
        <v>153-8353</v>
      </c>
      <c r="B634" t="s">
        <v>2589</v>
      </c>
      <c r="C634" t="str">
        <f>"87"</f>
        <v>87</v>
      </c>
      <c r="E634" t="s">
        <v>2590</v>
      </c>
      <c r="F634" t="s">
        <v>24</v>
      </c>
      <c r="G634" t="s">
        <v>2591</v>
      </c>
      <c r="H634" t="s">
        <v>17</v>
      </c>
      <c r="I634" t="s">
        <v>18</v>
      </c>
      <c r="J634" t="str">
        <f>"5148160906"</f>
        <v>5148160906</v>
      </c>
      <c r="K634" t="s">
        <v>2592</v>
      </c>
      <c r="L634" t="s">
        <v>350</v>
      </c>
      <c r="M634" t="s">
        <v>21</v>
      </c>
    </row>
    <row r="635" spans="1:13" x14ac:dyDescent="0.35">
      <c r="A635" t="str">
        <f>"154-2206"</f>
        <v>154-2206</v>
      </c>
      <c r="B635" t="s">
        <v>2593</v>
      </c>
      <c r="C635" t="str">
        <f>"2245"</f>
        <v>2245</v>
      </c>
      <c r="E635" t="s">
        <v>286</v>
      </c>
      <c r="F635" t="s">
        <v>24</v>
      </c>
      <c r="G635" t="s">
        <v>2594</v>
      </c>
      <c r="H635" t="s">
        <v>17</v>
      </c>
      <c r="I635" t="s">
        <v>18</v>
      </c>
      <c r="J635" t="str">
        <f>"4388845131"</f>
        <v>4388845131</v>
      </c>
      <c r="K635" t="s">
        <v>2595</v>
      </c>
      <c r="L635" t="s">
        <v>350</v>
      </c>
      <c r="M635" t="s">
        <v>21</v>
      </c>
    </row>
    <row r="636" spans="1:13" x14ac:dyDescent="0.35">
      <c r="A636" t="str">
        <f>"221-6620"</f>
        <v>221-6620</v>
      </c>
      <c r="B636" t="s">
        <v>2596</v>
      </c>
      <c r="C636" t="str">
        <f>"3416"</f>
        <v>3416</v>
      </c>
      <c r="D636" t="str">
        <f>"1"</f>
        <v>1</v>
      </c>
      <c r="E636" t="s">
        <v>234</v>
      </c>
      <c r="F636" t="s">
        <v>24</v>
      </c>
      <c r="G636" t="s">
        <v>235</v>
      </c>
      <c r="H636" t="s">
        <v>17</v>
      </c>
      <c r="I636" t="s">
        <v>18</v>
      </c>
      <c r="J636" t="str">
        <f>"5149732862"</f>
        <v>5149732862</v>
      </c>
      <c r="K636" t="s">
        <v>2597</v>
      </c>
      <c r="L636" t="s">
        <v>396</v>
      </c>
      <c r="M636" t="s">
        <v>21</v>
      </c>
    </row>
    <row r="637" spans="1:13" x14ac:dyDescent="0.35">
      <c r="A637" t="str">
        <f>"221-9380"</f>
        <v>221-9380</v>
      </c>
      <c r="B637" t="s">
        <v>2598</v>
      </c>
      <c r="C637" t="str">
        <f>"5017"</f>
        <v>5017</v>
      </c>
      <c r="E637" t="s">
        <v>2599</v>
      </c>
      <c r="F637" t="s">
        <v>24</v>
      </c>
      <c r="G637" t="s">
        <v>2600</v>
      </c>
      <c r="H637" t="s">
        <v>17</v>
      </c>
      <c r="I637" t="s">
        <v>18</v>
      </c>
      <c r="J637" t="str">
        <f>"5149805017"</f>
        <v>5149805017</v>
      </c>
      <c r="K637" t="s">
        <v>2601</v>
      </c>
      <c r="L637" t="s">
        <v>284</v>
      </c>
      <c r="M637" t="s">
        <v>21</v>
      </c>
    </row>
    <row r="638" spans="1:13" x14ac:dyDescent="0.35">
      <c r="A638" t="str">
        <f>"175-5966"</f>
        <v>175-5966</v>
      </c>
      <c r="B638" t="s">
        <v>2602</v>
      </c>
      <c r="C638" t="str">
        <f>"210"</f>
        <v>210</v>
      </c>
      <c r="D638" t="str">
        <f>"1"</f>
        <v>1</v>
      </c>
      <c r="E638" t="s">
        <v>2603</v>
      </c>
      <c r="F638" t="s">
        <v>1175</v>
      </c>
      <c r="G638" t="s">
        <v>2604</v>
      </c>
      <c r="H638" t="s">
        <v>17</v>
      </c>
      <c r="I638" t="s">
        <v>18</v>
      </c>
      <c r="J638" t="str">
        <f>"4385267104"</f>
        <v>4385267104</v>
      </c>
      <c r="K638" t="s">
        <v>2605</v>
      </c>
      <c r="L638" t="s">
        <v>39</v>
      </c>
      <c r="M638" t="s">
        <v>21</v>
      </c>
    </row>
    <row r="639" spans="1:13" x14ac:dyDescent="0.35">
      <c r="A639" t="str">
        <f>"176-4248"</f>
        <v>176-4248</v>
      </c>
      <c r="B639" t="s">
        <v>2606</v>
      </c>
      <c r="C639" t="str">
        <f>"2057"</f>
        <v>2057</v>
      </c>
      <c r="E639" t="s">
        <v>2607</v>
      </c>
      <c r="F639" t="s">
        <v>24</v>
      </c>
      <c r="G639" t="s">
        <v>2608</v>
      </c>
      <c r="H639" t="s">
        <v>17</v>
      </c>
      <c r="I639" t="s">
        <v>18</v>
      </c>
      <c r="J639" t="str">
        <f>"5143864043"</f>
        <v>5143864043</v>
      </c>
      <c r="K639" t="s">
        <v>2609</v>
      </c>
      <c r="L639" t="s">
        <v>350</v>
      </c>
      <c r="M639" t="s">
        <v>21</v>
      </c>
    </row>
    <row r="640" spans="1:13" x14ac:dyDescent="0.35">
      <c r="A640" t="str">
        <f>"204-1395"</f>
        <v>204-1395</v>
      </c>
      <c r="B640" t="s">
        <v>2610</v>
      </c>
      <c r="C640" t="str">
        <f>"5601"</f>
        <v>5601</v>
      </c>
      <c r="E640" t="s">
        <v>2611</v>
      </c>
      <c r="F640" t="s">
        <v>24</v>
      </c>
      <c r="G640" t="s">
        <v>2612</v>
      </c>
      <c r="H640" t="s">
        <v>17</v>
      </c>
      <c r="I640" t="s">
        <v>18</v>
      </c>
      <c r="J640" t="str">
        <f>"5142416054"</f>
        <v>5142416054</v>
      </c>
      <c r="K640" t="s">
        <v>2613</v>
      </c>
      <c r="L640" t="s">
        <v>29</v>
      </c>
      <c r="M640" t="s">
        <v>21</v>
      </c>
    </row>
    <row r="641" spans="1:13" x14ac:dyDescent="0.35">
      <c r="A641" t="str">
        <f>"223-8725"</f>
        <v>223-8725</v>
      </c>
      <c r="B641" t="s">
        <v>2614</v>
      </c>
      <c r="C641" t="str">
        <f>"8866"</f>
        <v>8866</v>
      </c>
      <c r="E641" t="s">
        <v>2615</v>
      </c>
      <c r="F641" t="s">
        <v>2616</v>
      </c>
      <c r="G641" t="s">
        <v>2617</v>
      </c>
      <c r="H641" t="s">
        <v>17</v>
      </c>
      <c r="I641" t="s">
        <v>18</v>
      </c>
      <c r="J641" t="str">
        <f>"4189437736"</f>
        <v>4189437736</v>
      </c>
      <c r="K641" t="s">
        <v>2618</v>
      </c>
      <c r="L641" t="s">
        <v>20</v>
      </c>
      <c r="M641" t="s">
        <v>21</v>
      </c>
    </row>
    <row r="642" spans="1:13" x14ac:dyDescent="0.35">
      <c r="A642" t="str">
        <f>"223-8853"</f>
        <v>223-8853</v>
      </c>
      <c r="B642" t="s">
        <v>2619</v>
      </c>
      <c r="C642" t="str">
        <f>"6219"</f>
        <v>6219</v>
      </c>
      <c r="E642" t="s">
        <v>1055</v>
      </c>
      <c r="F642" t="s">
        <v>24</v>
      </c>
      <c r="G642" t="s">
        <v>2620</v>
      </c>
      <c r="H642" t="s">
        <v>17</v>
      </c>
      <c r="I642" t="s">
        <v>18</v>
      </c>
      <c r="J642" t="str">
        <f>"4383470750"</f>
        <v>4383470750</v>
      </c>
      <c r="K642" t="s">
        <v>2621</v>
      </c>
      <c r="L642" t="s">
        <v>275</v>
      </c>
      <c r="M642" t="s">
        <v>21</v>
      </c>
    </row>
    <row r="643" spans="1:13" x14ac:dyDescent="0.35">
      <c r="A643" t="str">
        <f>"225-1539"</f>
        <v>225-1539</v>
      </c>
      <c r="B643" t="s">
        <v>2622</v>
      </c>
      <c r="C643" t="str">
        <f>"29"</f>
        <v>29</v>
      </c>
      <c r="E643" t="s">
        <v>2623</v>
      </c>
      <c r="F643" t="s">
        <v>2624</v>
      </c>
      <c r="G643" t="s">
        <v>2625</v>
      </c>
      <c r="H643" t="s">
        <v>17</v>
      </c>
      <c r="I643" t="s">
        <v>18</v>
      </c>
      <c r="J643" t="str">
        <f>"4183587949"</f>
        <v>4183587949</v>
      </c>
      <c r="K643" t="s">
        <v>2626</v>
      </c>
      <c r="L643" t="s">
        <v>874</v>
      </c>
      <c r="M643" t="s">
        <v>21</v>
      </c>
    </row>
    <row r="644" spans="1:13" x14ac:dyDescent="0.35">
      <c r="A644" t="str">
        <f>"225-2359"</f>
        <v>225-2359</v>
      </c>
      <c r="B644" t="s">
        <v>2627</v>
      </c>
      <c r="C644" t="str">
        <f>"107"</f>
        <v>107</v>
      </c>
      <c r="E644" t="s">
        <v>2628</v>
      </c>
      <c r="F644" t="s">
        <v>2629</v>
      </c>
      <c r="G644" t="s">
        <v>2630</v>
      </c>
      <c r="H644" t="s">
        <v>17</v>
      </c>
      <c r="I644" t="s">
        <v>18</v>
      </c>
      <c r="J644" t="str">
        <f>"4385222577"</f>
        <v>4385222577</v>
      </c>
      <c r="K644" t="s">
        <v>2631</v>
      </c>
      <c r="L644" t="s">
        <v>438</v>
      </c>
      <c r="M644" t="s">
        <v>21</v>
      </c>
    </row>
    <row r="645" spans="1:13" x14ac:dyDescent="0.35">
      <c r="A645" t="str">
        <f>"226-2187"</f>
        <v>226-2187</v>
      </c>
      <c r="B645" t="s">
        <v>2632</v>
      </c>
      <c r="C645" t="str">
        <f>"4570"</f>
        <v>4570</v>
      </c>
      <c r="D645" t="str">
        <f>"4"</f>
        <v>4</v>
      </c>
      <c r="E645" t="s">
        <v>125</v>
      </c>
      <c r="F645" t="s">
        <v>24</v>
      </c>
      <c r="G645" t="s">
        <v>2633</v>
      </c>
      <c r="H645" t="s">
        <v>17</v>
      </c>
      <c r="I645" t="s">
        <v>18</v>
      </c>
      <c r="J645" t="str">
        <f>"5819949053"</f>
        <v>5819949053</v>
      </c>
      <c r="K645" t="s">
        <v>2634</v>
      </c>
      <c r="L645" t="s">
        <v>20</v>
      </c>
      <c r="M645" t="s">
        <v>21</v>
      </c>
    </row>
    <row r="646" spans="1:13" x14ac:dyDescent="0.35">
      <c r="A646" t="str">
        <f>"226-2350"</f>
        <v>226-2350</v>
      </c>
      <c r="B646" t="s">
        <v>2635</v>
      </c>
      <c r="C646" t="str">
        <f>"6515"</f>
        <v>6515</v>
      </c>
      <c r="D646" t="str">
        <f>"305"</f>
        <v>305</v>
      </c>
      <c r="E646" t="s">
        <v>2636</v>
      </c>
      <c r="F646" t="s">
        <v>24</v>
      </c>
      <c r="G646" t="s">
        <v>2637</v>
      </c>
      <c r="H646" t="s">
        <v>17</v>
      </c>
      <c r="I646" t="s">
        <v>18</v>
      </c>
      <c r="J646" t="str">
        <f>"4383736661"</f>
        <v>4383736661</v>
      </c>
      <c r="K646" t="s">
        <v>2638</v>
      </c>
      <c r="L646" t="s">
        <v>350</v>
      </c>
      <c r="M646" t="s">
        <v>21</v>
      </c>
    </row>
    <row r="647" spans="1:13" x14ac:dyDescent="0.35">
      <c r="A647" t="str">
        <f>"227-1376"</f>
        <v>227-1376</v>
      </c>
      <c r="B647" t="s">
        <v>2640</v>
      </c>
      <c r="C647" t="str">
        <f>"2703"</f>
        <v>2703</v>
      </c>
      <c r="E647" t="s">
        <v>413</v>
      </c>
      <c r="F647" t="s">
        <v>24</v>
      </c>
      <c r="G647" t="s">
        <v>2641</v>
      </c>
      <c r="H647" t="s">
        <v>17</v>
      </c>
      <c r="I647" t="s">
        <v>18</v>
      </c>
      <c r="J647" t="str">
        <f>"5143602599"</f>
        <v>5143602599</v>
      </c>
      <c r="K647" t="s">
        <v>2642</v>
      </c>
      <c r="L647" t="s">
        <v>86</v>
      </c>
      <c r="M647" t="s">
        <v>21</v>
      </c>
    </row>
    <row r="648" spans="1:13" x14ac:dyDescent="0.35">
      <c r="A648" t="str">
        <f>"228-0914"</f>
        <v>228-0914</v>
      </c>
      <c r="B648" t="s">
        <v>2643</v>
      </c>
      <c r="C648" t="str">
        <f>"6227"</f>
        <v>6227</v>
      </c>
      <c r="E648" t="s">
        <v>2644</v>
      </c>
      <c r="F648" t="s">
        <v>24</v>
      </c>
      <c r="G648" t="s">
        <v>2645</v>
      </c>
      <c r="H648" t="s">
        <v>17</v>
      </c>
      <c r="I648" t="s">
        <v>18</v>
      </c>
      <c r="J648" t="str">
        <f>"4383654978"</f>
        <v>4383654978</v>
      </c>
      <c r="K648" t="s">
        <v>2646</v>
      </c>
      <c r="L648" t="s">
        <v>869</v>
      </c>
      <c r="M648" t="s">
        <v>21</v>
      </c>
    </row>
    <row r="649" spans="1:13" x14ac:dyDescent="0.35">
      <c r="A649" t="str">
        <f>"228-1435"</f>
        <v>228-1435</v>
      </c>
      <c r="B649" t="s">
        <v>2647</v>
      </c>
      <c r="C649" t="str">
        <f>"8965"</f>
        <v>8965</v>
      </c>
      <c r="E649" t="s">
        <v>2648</v>
      </c>
      <c r="F649" t="s">
        <v>24</v>
      </c>
      <c r="G649" t="s">
        <v>2649</v>
      </c>
      <c r="H649" t="s">
        <v>17</v>
      </c>
      <c r="I649" t="s">
        <v>18</v>
      </c>
      <c r="J649" t="str">
        <f>"5144495981"</f>
        <v>5144495981</v>
      </c>
      <c r="K649" t="s">
        <v>2650</v>
      </c>
      <c r="L649" t="s">
        <v>396</v>
      </c>
      <c r="M649" t="s">
        <v>21</v>
      </c>
    </row>
    <row r="650" spans="1:13" x14ac:dyDescent="0.35">
      <c r="A650" t="str">
        <f>"228-9095"</f>
        <v>228-9095</v>
      </c>
      <c r="B650" t="s">
        <v>2651</v>
      </c>
      <c r="C650" t="str">
        <f>"17"</f>
        <v>17</v>
      </c>
      <c r="E650" t="s">
        <v>2652</v>
      </c>
      <c r="F650" t="s">
        <v>1512</v>
      </c>
      <c r="G650" t="s">
        <v>2653</v>
      </c>
      <c r="H650" t="s">
        <v>17</v>
      </c>
      <c r="I650" t="s">
        <v>18</v>
      </c>
      <c r="J650" t="str">
        <f>"5142467814"</f>
        <v>5142467814</v>
      </c>
      <c r="K650" t="s">
        <v>2654</v>
      </c>
      <c r="L650" t="s">
        <v>874</v>
      </c>
      <c r="M650" t="s">
        <v>21</v>
      </c>
    </row>
    <row r="651" spans="1:13" x14ac:dyDescent="0.35">
      <c r="A651" t="str">
        <f>"228-9144"</f>
        <v>228-9144</v>
      </c>
      <c r="B651" t="s">
        <v>2655</v>
      </c>
      <c r="C651" t="str">
        <f>"8116"</f>
        <v>8116</v>
      </c>
      <c r="E651" t="s">
        <v>2656</v>
      </c>
      <c r="F651" t="s">
        <v>24</v>
      </c>
      <c r="G651" t="s">
        <v>2657</v>
      </c>
      <c r="H651" t="s">
        <v>17</v>
      </c>
      <c r="I651" t="s">
        <v>18</v>
      </c>
      <c r="J651" t="str">
        <f>"5143844560"</f>
        <v>5143844560</v>
      </c>
      <c r="K651" t="s">
        <v>2658</v>
      </c>
      <c r="L651" t="s">
        <v>534</v>
      </c>
      <c r="M651" t="s">
        <v>21</v>
      </c>
    </row>
    <row r="652" spans="1:13" x14ac:dyDescent="0.35">
      <c r="A652" t="str">
        <f>"228-9171"</f>
        <v>228-9171</v>
      </c>
      <c r="B652" t="s">
        <v>2659</v>
      </c>
      <c r="C652" t="str">
        <f>"8"</f>
        <v>8</v>
      </c>
      <c r="E652" t="s">
        <v>2660</v>
      </c>
      <c r="F652" t="s">
        <v>143</v>
      </c>
      <c r="G652" t="s">
        <v>2661</v>
      </c>
      <c r="H652" t="s">
        <v>17</v>
      </c>
      <c r="I652" t="s">
        <v>18</v>
      </c>
      <c r="J652" t="str">
        <f>"5149707107"</f>
        <v>5149707107</v>
      </c>
      <c r="K652" t="s">
        <v>2662</v>
      </c>
      <c r="L652" t="s">
        <v>27</v>
      </c>
      <c r="M652" t="s">
        <v>21</v>
      </c>
    </row>
    <row r="653" spans="1:13" x14ac:dyDescent="0.35">
      <c r="A653" t="str">
        <f>"228-9876"</f>
        <v>228-9876</v>
      </c>
      <c r="B653" t="s">
        <v>2663</v>
      </c>
      <c r="C653" t="str">
        <f>"4970"</f>
        <v>4970</v>
      </c>
      <c r="E653" t="s">
        <v>2664</v>
      </c>
      <c r="F653" t="s">
        <v>157</v>
      </c>
      <c r="G653" t="s">
        <v>2665</v>
      </c>
      <c r="H653" t="s">
        <v>17</v>
      </c>
      <c r="I653" t="s">
        <v>18</v>
      </c>
      <c r="J653" t="str">
        <f>"5149093509"</f>
        <v>5149093509</v>
      </c>
      <c r="K653" t="s">
        <v>2666</v>
      </c>
      <c r="L653" t="s">
        <v>869</v>
      </c>
      <c r="M653" t="s">
        <v>21</v>
      </c>
    </row>
    <row r="654" spans="1:13" x14ac:dyDescent="0.35">
      <c r="A654" t="str">
        <f>"228-9910"</f>
        <v>228-9910</v>
      </c>
      <c r="B654" t="s">
        <v>2667</v>
      </c>
      <c r="C654" t="str">
        <f>"12020"</f>
        <v>12020</v>
      </c>
      <c r="E654" t="s">
        <v>2668</v>
      </c>
      <c r="F654" t="s">
        <v>24</v>
      </c>
      <c r="G654" t="s">
        <v>2669</v>
      </c>
      <c r="H654" t="s">
        <v>17</v>
      </c>
      <c r="I654" t="s">
        <v>18</v>
      </c>
      <c r="J654" t="str">
        <f>"5144738240"</f>
        <v>5144738240</v>
      </c>
      <c r="K654" t="s">
        <v>2670</v>
      </c>
      <c r="L654" t="s">
        <v>534</v>
      </c>
      <c r="M654" t="s">
        <v>21</v>
      </c>
    </row>
    <row r="655" spans="1:13" x14ac:dyDescent="0.35">
      <c r="A655" t="str">
        <f>"153-3930"</f>
        <v>153-3930</v>
      </c>
      <c r="B655" t="s">
        <v>2671</v>
      </c>
      <c r="C655" t="str">
        <f>"1436"</f>
        <v>1436</v>
      </c>
      <c r="E655" t="s">
        <v>2672</v>
      </c>
      <c r="F655" t="s">
        <v>54</v>
      </c>
      <c r="G655" t="s">
        <v>2673</v>
      </c>
      <c r="H655" t="s">
        <v>17</v>
      </c>
      <c r="I655" t="s">
        <v>18</v>
      </c>
      <c r="J655" t="str">
        <f>"5142418209"</f>
        <v>5142418209</v>
      </c>
      <c r="K655" t="s">
        <v>2674</v>
      </c>
      <c r="L655" t="s">
        <v>39</v>
      </c>
      <c r="M655" t="s">
        <v>21</v>
      </c>
    </row>
    <row r="656" spans="1:13" x14ac:dyDescent="0.35">
      <c r="A656" t="str">
        <f>"221-1733"</f>
        <v>221-1733</v>
      </c>
      <c r="B656" t="s">
        <v>2675</v>
      </c>
      <c r="C656" t="str">
        <f>"9439"</f>
        <v>9439</v>
      </c>
      <c r="D656" t="str">
        <f>"9439"</f>
        <v>9439</v>
      </c>
      <c r="E656" t="s">
        <v>1047</v>
      </c>
      <c r="F656" t="s">
        <v>24</v>
      </c>
      <c r="G656" t="s">
        <v>2676</v>
      </c>
      <c r="H656" t="s">
        <v>17</v>
      </c>
      <c r="I656" t="s">
        <v>18</v>
      </c>
      <c r="J656" t="str">
        <f>"4387787984"</f>
        <v>4387787984</v>
      </c>
      <c r="K656" t="s">
        <v>2677</v>
      </c>
      <c r="L656" t="s">
        <v>350</v>
      </c>
      <c r="M656" t="s">
        <v>21</v>
      </c>
    </row>
    <row r="657" spans="1:13" x14ac:dyDescent="0.35">
      <c r="A657" t="str">
        <f>"194-1088"</f>
        <v>194-1088</v>
      </c>
      <c r="B657" t="s">
        <v>2678</v>
      </c>
      <c r="C657" t="str">
        <f>"733"</f>
        <v>733</v>
      </c>
      <c r="E657" t="s">
        <v>2679</v>
      </c>
      <c r="F657" t="s">
        <v>1401</v>
      </c>
      <c r="G657" t="s">
        <v>2680</v>
      </c>
      <c r="H657" t="s">
        <v>17</v>
      </c>
      <c r="I657" t="s">
        <v>18</v>
      </c>
      <c r="J657" t="str">
        <f>"5149421151"</f>
        <v>5149421151</v>
      </c>
      <c r="K657" t="s">
        <v>2681</v>
      </c>
      <c r="L657" t="s">
        <v>313</v>
      </c>
      <c r="M657" t="s">
        <v>21</v>
      </c>
    </row>
    <row r="658" spans="1:13" x14ac:dyDescent="0.35">
      <c r="A658" t="str">
        <f>"085-6772"</f>
        <v>085-6772</v>
      </c>
      <c r="B658" t="s">
        <v>2682</v>
      </c>
      <c r="C658" t="str">
        <f>"6550"</f>
        <v>6550</v>
      </c>
      <c r="D658" t="str">
        <f>"7"</f>
        <v>7</v>
      </c>
      <c r="E658" t="s">
        <v>2683</v>
      </c>
      <c r="F658" t="s">
        <v>24</v>
      </c>
      <c r="G658" t="s">
        <v>2684</v>
      </c>
      <c r="H658" t="s">
        <v>17</v>
      </c>
      <c r="I658" t="s">
        <v>18</v>
      </c>
      <c r="J658" t="str">
        <f>"5149414556"</f>
        <v>5149414556</v>
      </c>
      <c r="K658" t="s">
        <v>2685</v>
      </c>
      <c r="L658" t="s">
        <v>20</v>
      </c>
      <c r="M658" t="s">
        <v>21</v>
      </c>
    </row>
    <row r="659" spans="1:13" x14ac:dyDescent="0.35">
      <c r="A659" t="str">
        <f>"180-6717"</f>
        <v>180-6717</v>
      </c>
      <c r="B659" t="s">
        <v>2686</v>
      </c>
      <c r="C659" t="str">
        <f>"2560"</f>
        <v>2560</v>
      </c>
      <c r="D659" t="str">
        <f>"5"</f>
        <v>5</v>
      </c>
      <c r="E659" t="s">
        <v>2687</v>
      </c>
      <c r="F659" t="s">
        <v>24</v>
      </c>
      <c r="G659" t="s">
        <v>2688</v>
      </c>
      <c r="H659" t="s">
        <v>17</v>
      </c>
      <c r="I659" t="s">
        <v>18</v>
      </c>
      <c r="J659" t="str">
        <f>"5143587053"</f>
        <v>5143587053</v>
      </c>
      <c r="K659" t="s">
        <v>2689</v>
      </c>
      <c r="L659" t="s">
        <v>27</v>
      </c>
      <c r="M659" t="s">
        <v>21</v>
      </c>
    </row>
    <row r="660" spans="1:13" x14ac:dyDescent="0.35">
      <c r="A660" t="str">
        <f>"206-6074"</f>
        <v>206-6074</v>
      </c>
      <c r="B660" t="s">
        <v>2690</v>
      </c>
      <c r="C660" t="str">
        <f>"6271"</f>
        <v>6271</v>
      </c>
      <c r="E660" t="s">
        <v>2691</v>
      </c>
      <c r="F660" t="s">
        <v>24</v>
      </c>
      <c r="G660" t="s">
        <v>2692</v>
      </c>
      <c r="H660" t="s">
        <v>17</v>
      </c>
      <c r="I660" t="s">
        <v>18</v>
      </c>
      <c r="J660" t="str">
        <f>"5149990102"</f>
        <v>5149990102</v>
      </c>
      <c r="K660" t="s">
        <v>2693</v>
      </c>
      <c r="L660" t="s">
        <v>39</v>
      </c>
      <c r="M660" t="s">
        <v>21</v>
      </c>
    </row>
    <row r="661" spans="1:13" x14ac:dyDescent="0.35">
      <c r="A661" t="str">
        <f>"224-3096"</f>
        <v>224-3096</v>
      </c>
      <c r="B661" t="s">
        <v>2694</v>
      </c>
      <c r="C661" t="str">
        <f>"4284"</f>
        <v>4284</v>
      </c>
      <c r="E661" t="s">
        <v>129</v>
      </c>
      <c r="F661" t="s">
        <v>24</v>
      </c>
      <c r="G661" t="s">
        <v>2695</v>
      </c>
      <c r="H661" t="s">
        <v>17</v>
      </c>
      <c r="I661" t="s">
        <v>18</v>
      </c>
      <c r="J661" t="str">
        <f>"5147551236"</f>
        <v>5147551236</v>
      </c>
      <c r="K661" t="s">
        <v>2696</v>
      </c>
      <c r="L661" t="s">
        <v>305</v>
      </c>
      <c r="M661" t="s">
        <v>21</v>
      </c>
    </row>
    <row r="662" spans="1:13" x14ac:dyDescent="0.35">
      <c r="A662" t="str">
        <f>"225-3473"</f>
        <v>225-3473</v>
      </c>
      <c r="B662" t="s">
        <v>2697</v>
      </c>
      <c r="C662" t="str">
        <f>"6397"</f>
        <v>6397</v>
      </c>
      <c r="E662" t="s">
        <v>2698</v>
      </c>
      <c r="F662" t="s">
        <v>24</v>
      </c>
      <c r="G662" t="s">
        <v>2699</v>
      </c>
      <c r="H662" t="s">
        <v>17</v>
      </c>
      <c r="I662" t="s">
        <v>18</v>
      </c>
      <c r="J662" t="str">
        <f>"5142700477"</f>
        <v>5142700477</v>
      </c>
      <c r="K662" t="s">
        <v>2700</v>
      </c>
      <c r="L662" t="s">
        <v>76</v>
      </c>
      <c r="M662" t="s">
        <v>21</v>
      </c>
    </row>
    <row r="663" spans="1:13" x14ac:dyDescent="0.35">
      <c r="A663" t="str">
        <f>"225-3910"</f>
        <v>225-3910</v>
      </c>
      <c r="B663" t="s">
        <v>2701</v>
      </c>
      <c r="C663" t="str">
        <f>"7253"</f>
        <v>7253</v>
      </c>
      <c r="E663" t="s">
        <v>603</v>
      </c>
      <c r="F663" t="s">
        <v>24</v>
      </c>
      <c r="G663" t="s">
        <v>2702</v>
      </c>
      <c r="H663" t="s">
        <v>17</v>
      </c>
      <c r="I663" t="s">
        <v>18</v>
      </c>
      <c r="J663" t="str">
        <f>"5145936704"</f>
        <v>5145936704</v>
      </c>
      <c r="K663" t="s">
        <v>2703</v>
      </c>
      <c r="L663" t="s">
        <v>76</v>
      </c>
      <c r="M663" t="s">
        <v>21</v>
      </c>
    </row>
    <row r="664" spans="1:13" x14ac:dyDescent="0.35">
      <c r="A664" t="str">
        <f>"226-4024"</f>
        <v>226-4024</v>
      </c>
      <c r="B664" t="s">
        <v>2704</v>
      </c>
      <c r="C664" t="str">
        <f>"23"</f>
        <v>23</v>
      </c>
      <c r="D664" t="str">
        <f>"A"</f>
        <v>A</v>
      </c>
      <c r="E664" t="s">
        <v>560</v>
      </c>
      <c r="F664" t="s">
        <v>1022</v>
      </c>
      <c r="G664" t="s">
        <v>2705</v>
      </c>
      <c r="H664" t="s">
        <v>17</v>
      </c>
      <c r="I664" t="s">
        <v>18</v>
      </c>
      <c r="J664" t="str">
        <f>"5814660441"</f>
        <v>5814660441</v>
      </c>
      <c r="K664" t="s">
        <v>2706</v>
      </c>
      <c r="L664" t="s">
        <v>20</v>
      </c>
      <c r="M664" t="s">
        <v>21</v>
      </c>
    </row>
    <row r="665" spans="1:13" x14ac:dyDescent="0.35">
      <c r="A665" t="str">
        <f>"226-4453"</f>
        <v>226-4453</v>
      </c>
      <c r="B665" t="s">
        <v>2707</v>
      </c>
      <c r="C665" t="str">
        <f>"6604"</f>
        <v>6604</v>
      </c>
      <c r="E665" t="s">
        <v>781</v>
      </c>
      <c r="F665" t="s">
        <v>24</v>
      </c>
      <c r="G665" t="s">
        <v>2708</v>
      </c>
      <c r="H665" t="s">
        <v>17</v>
      </c>
      <c r="I665" t="s">
        <v>18</v>
      </c>
      <c r="J665" t="str">
        <f>"4383465185"</f>
        <v>4383465185</v>
      </c>
      <c r="K665" t="s">
        <v>2709</v>
      </c>
      <c r="L665" t="s">
        <v>76</v>
      </c>
      <c r="M665" t="s">
        <v>21</v>
      </c>
    </row>
    <row r="666" spans="1:13" x14ac:dyDescent="0.35">
      <c r="A666" t="str">
        <f>"226-4471"</f>
        <v>226-4471</v>
      </c>
      <c r="B666" t="s">
        <v>2710</v>
      </c>
      <c r="C666" t="str">
        <f>"231"</f>
        <v>231</v>
      </c>
      <c r="E666" t="s">
        <v>2711</v>
      </c>
      <c r="F666" t="s">
        <v>1175</v>
      </c>
      <c r="G666" t="s">
        <v>2712</v>
      </c>
      <c r="H666" t="s">
        <v>17</v>
      </c>
      <c r="I666" t="s">
        <v>18</v>
      </c>
      <c r="J666" t="str">
        <f>"4385256229"</f>
        <v>4385256229</v>
      </c>
      <c r="K666" t="s">
        <v>2713</v>
      </c>
      <c r="L666" t="s">
        <v>29</v>
      </c>
      <c r="M666" t="s">
        <v>21</v>
      </c>
    </row>
    <row r="667" spans="1:13" x14ac:dyDescent="0.35">
      <c r="A667" t="str">
        <f>"227-2608"</f>
        <v>227-2608</v>
      </c>
      <c r="B667" t="s">
        <v>2714</v>
      </c>
      <c r="C667" t="str">
        <f>"6983"</f>
        <v>6983</v>
      </c>
      <c r="E667" t="s">
        <v>406</v>
      </c>
      <c r="F667" t="s">
        <v>24</v>
      </c>
      <c r="G667" t="s">
        <v>1808</v>
      </c>
      <c r="H667" t="s">
        <v>17</v>
      </c>
      <c r="I667" t="s">
        <v>18</v>
      </c>
      <c r="J667" t="str">
        <f>"4389896619"</f>
        <v>4389896619</v>
      </c>
      <c r="K667" t="s">
        <v>2715</v>
      </c>
      <c r="L667" t="s">
        <v>76</v>
      </c>
      <c r="M667" t="s">
        <v>21</v>
      </c>
    </row>
    <row r="668" spans="1:13" x14ac:dyDescent="0.35">
      <c r="A668" t="str">
        <f>"227-3983"</f>
        <v>227-3983</v>
      </c>
      <c r="B668" t="s">
        <v>2716</v>
      </c>
      <c r="C668" t="str">
        <f>"11440"</f>
        <v>11440</v>
      </c>
      <c r="E668" t="s">
        <v>2717</v>
      </c>
      <c r="F668" t="s">
        <v>24</v>
      </c>
      <c r="G668" t="s">
        <v>2718</v>
      </c>
      <c r="H668" t="s">
        <v>17</v>
      </c>
      <c r="I668" t="s">
        <v>18</v>
      </c>
      <c r="J668" t="str">
        <f>"4389512344"</f>
        <v>4389512344</v>
      </c>
      <c r="K668" t="s">
        <v>2719</v>
      </c>
      <c r="L668" t="s">
        <v>396</v>
      </c>
      <c r="M668" t="s">
        <v>21</v>
      </c>
    </row>
    <row r="669" spans="1:13" x14ac:dyDescent="0.35">
      <c r="A669" t="str">
        <f>"043-4173"</f>
        <v>043-4173</v>
      </c>
      <c r="B669" t="s">
        <v>2720</v>
      </c>
      <c r="C669" t="str">
        <f>"112"</f>
        <v>112</v>
      </c>
      <c r="E669" t="s">
        <v>2721</v>
      </c>
      <c r="F669" t="s">
        <v>2722</v>
      </c>
      <c r="G669" t="s">
        <v>2723</v>
      </c>
      <c r="H669" t="s">
        <v>17</v>
      </c>
      <c r="I669" t="s">
        <v>18</v>
      </c>
      <c r="J669" t="str">
        <f>"4383729027"</f>
        <v>4383729027</v>
      </c>
      <c r="K669" t="s">
        <v>2724</v>
      </c>
      <c r="L669" t="s">
        <v>20</v>
      </c>
      <c r="M669" t="s">
        <v>21</v>
      </c>
    </row>
    <row r="670" spans="1:13" x14ac:dyDescent="0.35">
      <c r="A670" t="str">
        <f>"045-7171"</f>
        <v>045-7171</v>
      </c>
      <c r="B670" t="s">
        <v>2725</v>
      </c>
      <c r="C670" t="str">
        <f>"2396"</f>
        <v>2396</v>
      </c>
      <c r="E670" t="s">
        <v>2726</v>
      </c>
      <c r="F670" t="s">
        <v>24</v>
      </c>
      <c r="G670" t="s">
        <v>2727</v>
      </c>
      <c r="H670" t="s">
        <v>17</v>
      </c>
      <c r="I670" t="s">
        <v>18</v>
      </c>
      <c r="J670" t="str">
        <f>"5148151249"</f>
        <v>5148151249</v>
      </c>
      <c r="K670" t="s">
        <v>2728</v>
      </c>
      <c r="L670" t="s">
        <v>39</v>
      </c>
      <c r="M670" t="s">
        <v>21</v>
      </c>
    </row>
    <row r="671" spans="1:13" x14ac:dyDescent="0.35">
      <c r="A671" t="str">
        <f>"054-4153"</f>
        <v>054-4153</v>
      </c>
      <c r="B671" t="s">
        <v>2729</v>
      </c>
      <c r="C671" t="str">
        <f>"1661"</f>
        <v>1661</v>
      </c>
      <c r="D671" t="str">
        <f>"205"</f>
        <v>205</v>
      </c>
      <c r="E671" t="s">
        <v>540</v>
      </c>
      <c r="F671" t="s">
        <v>24</v>
      </c>
      <c r="G671" t="s">
        <v>2730</v>
      </c>
      <c r="H671" t="s">
        <v>17</v>
      </c>
      <c r="I671" t="s">
        <v>18</v>
      </c>
      <c r="J671" t="str">
        <f>"5142903160"</f>
        <v>5142903160</v>
      </c>
      <c r="K671" t="s">
        <v>2731</v>
      </c>
      <c r="L671" t="s">
        <v>29</v>
      </c>
      <c r="M671" t="s">
        <v>21</v>
      </c>
    </row>
    <row r="672" spans="1:13" x14ac:dyDescent="0.35">
      <c r="A672" t="str">
        <f>"102-7153"</f>
        <v>102-7153</v>
      </c>
      <c r="B672" t="s">
        <v>2732</v>
      </c>
      <c r="C672" t="str">
        <f>"170"</f>
        <v>170</v>
      </c>
      <c r="E672" t="s">
        <v>2733</v>
      </c>
      <c r="F672" t="s">
        <v>2734</v>
      </c>
      <c r="G672" t="s">
        <v>2735</v>
      </c>
      <c r="H672" t="s">
        <v>17</v>
      </c>
      <c r="I672" t="s">
        <v>18</v>
      </c>
      <c r="J672" t="str">
        <f>"4509179729"</f>
        <v>4509179729</v>
      </c>
      <c r="K672" t="s">
        <v>2736</v>
      </c>
      <c r="L672" t="s">
        <v>20</v>
      </c>
      <c r="M672" t="s">
        <v>21</v>
      </c>
    </row>
    <row r="673" spans="1:13" x14ac:dyDescent="0.35">
      <c r="A673" t="str">
        <f>"228-1681"</f>
        <v>228-1681</v>
      </c>
      <c r="B673" t="s">
        <v>2737</v>
      </c>
      <c r="C673" t="str">
        <f>"215"</f>
        <v>215</v>
      </c>
      <c r="E673" t="s">
        <v>2738</v>
      </c>
      <c r="F673" t="s">
        <v>2739</v>
      </c>
      <c r="G673" t="s">
        <v>2740</v>
      </c>
      <c r="H673" t="s">
        <v>17</v>
      </c>
      <c r="I673" t="s">
        <v>18</v>
      </c>
      <c r="J673" t="str">
        <f>"4384098655"</f>
        <v>4384098655</v>
      </c>
      <c r="K673" t="s">
        <v>2741</v>
      </c>
      <c r="L673" t="s">
        <v>39</v>
      </c>
      <c r="M673" t="s">
        <v>21</v>
      </c>
    </row>
    <row r="674" spans="1:13" x14ac:dyDescent="0.35">
      <c r="A674" t="str">
        <f>"228-1987"</f>
        <v>228-1987</v>
      </c>
      <c r="B674" t="s">
        <v>2742</v>
      </c>
      <c r="C674" t="str">
        <f>"2207"</f>
        <v>2207</v>
      </c>
      <c r="E674" t="s">
        <v>2743</v>
      </c>
      <c r="F674" t="s">
        <v>24</v>
      </c>
      <c r="G674" t="s">
        <v>2744</v>
      </c>
      <c r="H674" t="s">
        <v>17</v>
      </c>
      <c r="I674" t="s">
        <v>18</v>
      </c>
      <c r="J674" t="str">
        <f>"4389954487"</f>
        <v>4389954487</v>
      </c>
      <c r="K674" t="s">
        <v>2745</v>
      </c>
      <c r="L674" t="s">
        <v>466</v>
      </c>
      <c r="M674" t="s">
        <v>21</v>
      </c>
    </row>
    <row r="675" spans="1:13" x14ac:dyDescent="0.35">
      <c r="A675" t="str">
        <f>"228-2383"</f>
        <v>228-2383</v>
      </c>
      <c r="B675" t="s">
        <v>2746</v>
      </c>
      <c r="C675" t="str">
        <f>"4325"</f>
        <v>4325</v>
      </c>
      <c r="E675" t="s">
        <v>2747</v>
      </c>
      <c r="F675" t="s">
        <v>157</v>
      </c>
      <c r="G675" t="s">
        <v>2748</v>
      </c>
      <c r="H675" t="s">
        <v>17</v>
      </c>
      <c r="I675" t="s">
        <v>18</v>
      </c>
      <c r="J675" t="str">
        <f>"4383344513"</f>
        <v>4383344513</v>
      </c>
      <c r="K675" t="s">
        <v>2749</v>
      </c>
      <c r="L675" t="s">
        <v>198</v>
      </c>
      <c r="M675" t="s">
        <v>21</v>
      </c>
    </row>
    <row r="676" spans="1:13" x14ac:dyDescent="0.35">
      <c r="A676" t="str">
        <f>"985-1709"</f>
        <v>985-1709</v>
      </c>
      <c r="B676" t="s">
        <v>2750</v>
      </c>
      <c r="C676" t="str">
        <f>"7727"</f>
        <v>7727</v>
      </c>
      <c r="E676" t="s">
        <v>129</v>
      </c>
      <c r="F676" t="s">
        <v>24</v>
      </c>
      <c r="G676" t="s">
        <v>2751</v>
      </c>
      <c r="H676" t="s">
        <v>17</v>
      </c>
      <c r="I676" t="s">
        <v>18</v>
      </c>
      <c r="J676" t="str">
        <f>"5144327766"</f>
        <v>5144327766</v>
      </c>
      <c r="K676" t="s">
        <v>2752</v>
      </c>
      <c r="L676" t="s">
        <v>20</v>
      </c>
      <c r="M676" t="s">
        <v>21</v>
      </c>
    </row>
    <row r="677" spans="1:13" x14ac:dyDescent="0.35">
      <c r="A677" t="str">
        <f>"994-2275"</f>
        <v>994-2275</v>
      </c>
      <c r="B677" t="s">
        <v>2753</v>
      </c>
      <c r="C677" t="str">
        <f>"8707"</f>
        <v>8707</v>
      </c>
      <c r="E677" t="s">
        <v>2754</v>
      </c>
      <c r="F677" t="s">
        <v>2187</v>
      </c>
      <c r="G677" t="s">
        <v>2755</v>
      </c>
      <c r="H677" t="s">
        <v>17</v>
      </c>
      <c r="I677" t="s">
        <v>18</v>
      </c>
      <c r="J677" t="str">
        <f>"5146687789"</f>
        <v>5146687789</v>
      </c>
      <c r="K677" t="s">
        <v>2756</v>
      </c>
      <c r="L677" t="s">
        <v>20</v>
      </c>
      <c r="M677" t="s">
        <v>21</v>
      </c>
    </row>
    <row r="678" spans="1:13" x14ac:dyDescent="0.35">
      <c r="A678" t="str">
        <f>"994-7481"</f>
        <v>994-7481</v>
      </c>
      <c r="B678" t="s">
        <v>2757</v>
      </c>
      <c r="C678" t="str">
        <f>"852"</f>
        <v>852</v>
      </c>
      <c r="E678" t="s">
        <v>2758</v>
      </c>
      <c r="F678" t="s">
        <v>24</v>
      </c>
      <c r="G678" t="s">
        <v>1349</v>
      </c>
      <c r="H678" t="s">
        <v>17</v>
      </c>
      <c r="I678" t="s">
        <v>18</v>
      </c>
      <c r="J678" t="str">
        <f>"4388847115"</f>
        <v>4388847115</v>
      </c>
      <c r="K678" t="s">
        <v>2759</v>
      </c>
      <c r="L678" t="s">
        <v>319</v>
      </c>
      <c r="M678" t="s">
        <v>21</v>
      </c>
    </row>
    <row r="679" spans="1:13" x14ac:dyDescent="0.35">
      <c r="A679" t="str">
        <f>"973-1031"</f>
        <v>973-1031</v>
      </c>
      <c r="B679" t="s">
        <v>2760</v>
      </c>
      <c r="C679" t="str">
        <f>"2566"</f>
        <v>2566</v>
      </c>
      <c r="E679" t="s">
        <v>2761</v>
      </c>
      <c r="F679" t="s">
        <v>2536</v>
      </c>
      <c r="G679" t="s">
        <v>2762</v>
      </c>
      <c r="H679" t="s">
        <v>17</v>
      </c>
      <c r="I679" t="s">
        <v>18</v>
      </c>
      <c r="J679" t="str">
        <f>"4505582255"</f>
        <v>4505582255</v>
      </c>
      <c r="K679" t="s">
        <v>2763</v>
      </c>
      <c r="L679" t="s">
        <v>20</v>
      </c>
      <c r="M679" t="s">
        <v>21</v>
      </c>
    </row>
    <row r="680" spans="1:13" x14ac:dyDescent="0.35">
      <c r="A680" t="str">
        <f>"229-0818"</f>
        <v>229-0818</v>
      </c>
      <c r="B680" t="s">
        <v>2764</v>
      </c>
      <c r="C680" t="str">
        <f>"577"</f>
        <v>577</v>
      </c>
      <c r="D680" t="str">
        <f>"1"</f>
        <v>1</v>
      </c>
      <c r="E680" t="s">
        <v>2765</v>
      </c>
      <c r="F680" t="s">
        <v>40</v>
      </c>
      <c r="G680" t="s">
        <v>2766</v>
      </c>
      <c r="H680" t="s">
        <v>17</v>
      </c>
      <c r="I680" t="s">
        <v>18</v>
      </c>
      <c r="J680" t="str">
        <f>"4383891373"</f>
        <v>4383891373</v>
      </c>
      <c r="K680" t="s">
        <v>2767</v>
      </c>
      <c r="L680" t="s">
        <v>396</v>
      </c>
      <c r="M680" t="s">
        <v>21</v>
      </c>
    </row>
    <row r="681" spans="1:13" x14ac:dyDescent="0.35">
      <c r="A681" t="str">
        <f>"229-0885"</f>
        <v>229-0885</v>
      </c>
      <c r="B681" t="s">
        <v>2768</v>
      </c>
      <c r="C681" t="str">
        <f>"10000"</f>
        <v>10000</v>
      </c>
      <c r="D681" t="str">
        <f>"312"</f>
        <v>312</v>
      </c>
      <c r="E681" t="s">
        <v>2769</v>
      </c>
      <c r="F681" t="s">
        <v>24</v>
      </c>
      <c r="G681" t="s">
        <v>2770</v>
      </c>
      <c r="H681" t="s">
        <v>17</v>
      </c>
      <c r="I681" t="s">
        <v>18</v>
      </c>
      <c r="J681" t="str">
        <f>"5142959096"</f>
        <v>5142959096</v>
      </c>
      <c r="K681" t="s">
        <v>2771</v>
      </c>
      <c r="L681" t="s">
        <v>137</v>
      </c>
      <c r="M681" t="s">
        <v>21</v>
      </c>
    </row>
    <row r="682" spans="1:13" x14ac:dyDescent="0.35">
      <c r="A682" t="str">
        <f>"229-0990"</f>
        <v>229-0990</v>
      </c>
      <c r="B682" t="s">
        <v>2772</v>
      </c>
      <c r="C682" t="str">
        <f>"565"</f>
        <v>565</v>
      </c>
      <c r="E682" t="s">
        <v>2773</v>
      </c>
      <c r="F682" t="s">
        <v>143</v>
      </c>
      <c r="G682" t="s">
        <v>2774</v>
      </c>
      <c r="H682" t="s">
        <v>17</v>
      </c>
      <c r="I682" t="s">
        <v>18</v>
      </c>
      <c r="J682" t="str">
        <f>"5146096742"</f>
        <v>5146096742</v>
      </c>
      <c r="K682" t="s">
        <v>2775</v>
      </c>
      <c r="L682" t="s">
        <v>608</v>
      </c>
      <c r="M682" t="s">
        <v>21</v>
      </c>
    </row>
    <row r="683" spans="1:13" x14ac:dyDescent="0.35">
      <c r="A683" t="str">
        <f>"619-2791"</f>
        <v>619-2791</v>
      </c>
      <c r="B683" t="s">
        <v>2776</v>
      </c>
      <c r="C683" t="str">
        <f>"6755"</f>
        <v>6755</v>
      </c>
      <c r="D683" t="str">
        <f>"24"</f>
        <v>24</v>
      </c>
      <c r="E683" t="s">
        <v>2777</v>
      </c>
      <c r="F683" t="s">
        <v>24</v>
      </c>
      <c r="G683" t="s">
        <v>2778</v>
      </c>
      <c r="H683" t="s">
        <v>17</v>
      </c>
      <c r="I683" t="s">
        <v>18</v>
      </c>
      <c r="J683" t="str">
        <f>"5145785248"</f>
        <v>5145785248</v>
      </c>
      <c r="K683" t="s">
        <v>2779</v>
      </c>
      <c r="L683" t="s">
        <v>137</v>
      </c>
      <c r="M683" t="s">
        <v>21</v>
      </c>
    </row>
    <row r="684" spans="1:13" x14ac:dyDescent="0.35">
      <c r="A684" t="str">
        <f>"104-8007"</f>
        <v>104-8007</v>
      </c>
      <c r="B684" t="s">
        <v>2780</v>
      </c>
      <c r="C684" t="str">
        <f>"28"</f>
        <v>28</v>
      </c>
      <c r="E684" t="s">
        <v>2781</v>
      </c>
      <c r="F684" t="s">
        <v>32</v>
      </c>
      <c r="G684" t="s">
        <v>2782</v>
      </c>
      <c r="H684" t="s">
        <v>17</v>
      </c>
      <c r="I684" t="s">
        <v>18</v>
      </c>
      <c r="J684" t="str">
        <f>"5147143543"</f>
        <v>5147143543</v>
      </c>
      <c r="K684" t="s">
        <v>2783</v>
      </c>
      <c r="L684" t="s">
        <v>350</v>
      </c>
      <c r="M684" t="s">
        <v>21</v>
      </c>
    </row>
    <row r="685" spans="1:13" x14ac:dyDescent="0.35">
      <c r="A685" t="str">
        <f>"107-9316"</f>
        <v>107-9316</v>
      </c>
      <c r="B685" t="s">
        <v>2784</v>
      </c>
      <c r="C685" t="str">
        <f>"365"</f>
        <v>365</v>
      </c>
      <c r="E685" t="s">
        <v>2785</v>
      </c>
      <c r="F685" t="s">
        <v>256</v>
      </c>
      <c r="G685" t="s">
        <v>2786</v>
      </c>
      <c r="H685" t="s">
        <v>17</v>
      </c>
      <c r="I685" t="s">
        <v>18</v>
      </c>
      <c r="J685" t="str">
        <f>"5148873897"</f>
        <v>5148873897</v>
      </c>
      <c r="K685" t="s">
        <v>2787</v>
      </c>
      <c r="L685" t="s">
        <v>350</v>
      </c>
      <c r="M685" t="s">
        <v>21</v>
      </c>
    </row>
    <row r="686" spans="1:13" x14ac:dyDescent="0.35">
      <c r="A686" t="str">
        <f>"111-4150"</f>
        <v>111-4150</v>
      </c>
      <c r="B686" t="s">
        <v>2788</v>
      </c>
      <c r="C686" t="str">
        <f>"8933"</f>
        <v>8933</v>
      </c>
      <c r="E686" t="s">
        <v>2789</v>
      </c>
      <c r="F686" t="s">
        <v>24</v>
      </c>
      <c r="G686" t="s">
        <v>2790</v>
      </c>
      <c r="H686" t="s">
        <v>17</v>
      </c>
      <c r="I686" t="s">
        <v>18</v>
      </c>
      <c r="J686" t="str">
        <f>"5148306296"</f>
        <v>5148306296</v>
      </c>
      <c r="K686" t="s">
        <v>2791</v>
      </c>
      <c r="L686" t="s">
        <v>20</v>
      </c>
      <c r="M686" t="s">
        <v>21</v>
      </c>
    </row>
    <row r="687" spans="1:13" x14ac:dyDescent="0.35">
      <c r="A687" t="str">
        <f>"132-4228"</f>
        <v>132-4228</v>
      </c>
      <c r="B687" t="s">
        <v>2792</v>
      </c>
      <c r="C687" t="str">
        <f>"161"</f>
        <v>161</v>
      </c>
      <c r="D687" t="str">
        <f>"2"</f>
        <v>2</v>
      </c>
      <c r="E687" t="s">
        <v>2793</v>
      </c>
      <c r="F687" t="s">
        <v>157</v>
      </c>
      <c r="G687" t="s">
        <v>2794</v>
      </c>
      <c r="H687" t="s">
        <v>17</v>
      </c>
      <c r="I687" t="s">
        <v>18</v>
      </c>
      <c r="J687" t="str">
        <f>"4384996696"</f>
        <v>4384996696</v>
      </c>
      <c r="K687" t="s">
        <v>2795</v>
      </c>
      <c r="L687" t="s">
        <v>39</v>
      </c>
      <c r="M687" t="s">
        <v>21</v>
      </c>
    </row>
    <row r="688" spans="1:13" x14ac:dyDescent="0.35">
      <c r="A688" t="str">
        <f>"132-9391"</f>
        <v>132-9391</v>
      </c>
      <c r="B688" t="s">
        <v>2796</v>
      </c>
      <c r="C688" t="str">
        <f>"603"</f>
        <v>603</v>
      </c>
      <c r="D688" t="str">
        <f>"801"</f>
        <v>801</v>
      </c>
      <c r="E688" t="s">
        <v>2797</v>
      </c>
      <c r="F688" t="s">
        <v>54</v>
      </c>
      <c r="G688" t="s">
        <v>2798</v>
      </c>
      <c r="H688" t="s">
        <v>17</v>
      </c>
      <c r="I688" t="s">
        <v>18</v>
      </c>
      <c r="J688" t="str">
        <f>"4388701996"</f>
        <v>4388701996</v>
      </c>
      <c r="K688" t="s">
        <v>2799</v>
      </c>
      <c r="L688" t="s">
        <v>350</v>
      </c>
      <c r="M688" t="s">
        <v>21</v>
      </c>
    </row>
    <row r="689" spans="1:13" x14ac:dyDescent="0.35">
      <c r="A689" t="str">
        <f>"132-9806"</f>
        <v>132-9806</v>
      </c>
      <c r="B689" t="s">
        <v>2800</v>
      </c>
      <c r="C689" t="str">
        <f>"106"</f>
        <v>106</v>
      </c>
      <c r="D689" t="str">
        <f>"3"</f>
        <v>3</v>
      </c>
      <c r="E689" t="s">
        <v>2801</v>
      </c>
      <c r="F689" t="s">
        <v>54</v>
      </c>
      <c r="G689" t="s">
        <v>2802</v>
      </c>
      <c r="H689" t="s">
        <v>17</v>
      </c>
      <c r="I689" t="s">
        <v>18</v>
      </c>
      <c r="J689" t="str">
        <f>"5145594570"</f>
        <v>5145594570</v>
      </c>
      <c r="K689" t="s">
        <v>2803</v>
      </c>
      <c r="L689" t="s">
        <v>350</v>
      </c>
      <c r="M689" t="s">
        <v>21</v>
      </c>
    </row>
    <row r="690" spans="1:13" x14ac:dyDescent="0.35">
      <c r="A690" t="str">
        <f>"133-2969"</f>
        <v>133-2969</v>
      </c>
      <c r="B690" t="s">
        <v>2804</v>
      </c>
      <c r="C690" t="str">
        <f>"5621"</f>
        <v>5621</v>
      </c>
      <c r="E690" t="s">
        <v>2805</v>
      </c>
      <c r="F690" t="s">
        <v>40</v>
      </c>
      <c r="G690" t="s">
        <v>2806</v>
      </c>
      <c r="H690" t="s">
        <v>17</v>
      </c>
      <c r="I690" t="s">
        <v>18</v>
      </c>
      <c r="J690" t="str">
        <f>"5149639565"</f>
        <v>5149639565</v>
      </c>
      <c r="K690" t="s">
        <v>2807</v>
      </c>
      <c r="L690" t="s">
        <v>350</v>
      </c>
      <c r="M690" t="s">
        <v>21</v>
      </c>
    </row>
    <row r="691" spans="1:13" x14ac:dyDescent="0.35">
      <c r="A691" t="str">
        <f>"133-3430"</f>
        <v>133-3430</v>
      </c>
      <c r="B691" t="s">
        <v>2808</v>
      </c>
      <c r="C691" t="str">
        <f>"1827"</f>
        <v>1827</v>
      </c>
      <c r="E691" t="s">
        <v>2809</v>
      </c>
      <c r="F691" t="s">
        <v>24</v>
      </c>
      <c r="G691" t="s">
        <v>2810</v>
      </c>
      <c r="H691" t="s">
        <v>17</v>
      </c>
      <c r="I691" t="s">
        <v>18</v>
      </c>
      <c r="J691" t="str">
        <f>"5144982861"</f>
        <v>5144982861</v>
      </c>
      <c r="K691" t="s">
        <v>2811</v>
      </c>
      <c r="L691" t="s">
        <v>313</v>
      </c>
      <c r="M691" t="s">
        <v>21</v>
      </c>
    </row>
    <row r="692" spans="1:13" x14ac:dyDescent="0.35">
      <c r="A692" t="str">
        <f>"143-3599"</f>
        <v>143-3599</v>
      </c>
      <c r="B692" t="s">
        <v>2813</v>
      </c>
      <c r="C692" t="str">
        <f>"1616"</f>
        <v>1616</v>
      </c>
      <c r="D692" t="str">
        <f>"13"</f>
        <v>13</v>
      </c>
      <c r="E692" t="s">
        <v>2814</v>
      </c>
      <c r="F692" t="s">
        <v>143</v>
      </c>
      <c r="G692" t="s">
        <v>2815</v>
      </c>
      <c r="H692" t="s">
        <v>17</v>
      </c>
      <c r="I692" t="s">
        <v>18</v>
      </c>
      <c r="J692" t="str">
        <f>"4509447789"</f>
        <v>4509447789</v>
      </c>
      <c r="K692" t="s">
        <v>2816</v>
      </c>
      <c r="L692" t="s">
        <v>313</v>
      </c>
      <c r="M692" t="s">
        <v>21</v>
      </c>
    </row>
    <row r="693" spans="1:13" x14ac:dyDescent="0.35">
      <c r="A693" t="str">
        <f>"144-3621"</f>
        <v>144-3621</v>
      </c>
      <c r="B693" t="s">
        <v>2817</v>
      </c>
      <c r="C693" t="str">
        <f>"1583"</f>
        <v>1583</v>
      </c>
      <c r="E693" t="s">
        <v>2818</v>
      </c>
      <c r="F693" t="s">
        <v>54</v>
      </c>
      <c r="G693" t="s">
        <v>2819</v>
      </c>
      <c r="H693" t="s">
        <v>17</v>
      </c>
      <c r="I693" t="s">
        <v>18</v>
      </c>
      <c r="J693" t="str">
        <f>"4384027626"</f>
        <v>4384027626</v>
      </c>
      <c r="K693" t="s">
        <v>2820</v>
      </c>
      <c r="L693" t="s">
        <v>20</v>
      </c>
      <c r="M693" t="s">
        <v>21</v>
      </c>
    </row>
    <row r="694" spans="1:13" x14ac:dyDescent="0.35">
      <c r="A694" t="str">
        <f>"143-9023"</f>
        <v>143-9023</v>
      </c>
      <c r="B694" t="s">
        <v>2821</v>
      </c>
      <c r="C694" t="str">
        <f>"405"</f>
        <v>405</v>
      </c>
      <c r="E694" t="s">
        <v>2822</v>
      </c>
      <c r="F694" t="s">
        <v>2823</v>
      </c>
      <c r="G694" t="s">
        <v>2824</v>
      </c>
      <c r="H694" t="s">
        <v>17</v>
      </c>
      <c r="I694" t="s">
        <v>18</v>
      </c>
      <c r="J694" t="str">
        <f>"4383976597"</f>
        <v>4383976597</v>
      </c>
      <c r="K694" t="s">
        <v>2825</v>
      </c>
      <c r="L694" t="s">
        <v>198</v>
      </c>
      <c r="M694" t="s">
        <v>21</v>
      </c>
    </row>
    <row r="695" spans="1:13" x14ac:dyDescent="0.35">
      <c r="A695" t="str">
        <f>"146-5267"</f>
        <v>146-5267</v>
      </c>
      <c r="B695" t="s">
        <v>2826</v>
      </c>
      <c r="C695" t="str">
        <f>"464"</f>
        <v>464</v>
      </c>
      <c r="D695" t="str">
        <f>"4"</f>
        <v>4</v>
      </c>
      <c r="E695" t="s">
        <v>2827</v>
      </c>
      <c r="F695" t="s">
        <v>24</v>
      </c>
      <c r="G695" t="s">
        <v>2828</v>
      </c>
      <c r="H695" t="s">
        <v>17</v>
      </c>
      <c r="I695" t="s">
        <v>18</v>
      </c>
      <c r="J695" t="str">
        <f>"4388318086"</f>
        <v>4388318086</v>
      </c>
      <c r="K695" t="s">
        <v>2829</v>
      </c>
      <c r="L695" t="s">
        <v>20</v>
      </c>
      <c r="M695" t="s">
        <v>21</v>
      </c>
    </row>
    <row r="696" spans="1:13" x14ac:dyDescent="0.35">
      <c r="A696" t="str">
        <f>"147-1710"</f>
        <v>147-1710</v>
      </c>
      <c r="B696" t="s">
        <v>2830</v>
      </c>
      <c r="C696" t="str">
        <f>"3979"</f>
        <v>3979</v>
      </c>
      <c r="E696" t="s">
        <v>1966</v>
      </c>
      <c r="F696" t="s">
        <v>24</v>
      </c>
      <c r="G696" t="s">
        <v>2831</v>
      </c>
      <c r="H696" t="s">
        <v>17</v>
      </c>
      <c r="I696" t="s">
        <v>18</v>
      </c>
      <c r="J696" t="str">
        <f>"5149437534"</f>
        <v>5149437534</v>
      </c>
      <c r="K696" t="s">
        <v>2832</v>
      </c>
      <c r="L696" t="s">
        <v>168</v>
      </c>
      <c r="M696" t="s">
        <v>21</v>
      </c>
    </row>
    <row r="697" spans="1:13" x14ac:dyDescent="0.35">
      <c r="A697" t="str">
        <f>"147-6357"</f>
        <v>147-6357</v>
      </c>
      <c r="B697" t="s">
        <v>2833</v>
      </c>
      <c r="C697" t="str">
        <f>"5990"</f>
        <v>5990</v>
      </c>
      <c r="E697" t="s">
        <v>2834</v>
      </c>
      <c r="F697" t="s">
        <v>54</v>
      </c>
      <c r="G697" t="s">
        <v>2835</v>
      </c>
      <c r="H697" t="s">
        <v>17</v>
      </c>
      <c r="I697" t="s">
        <v>18</v>
      </c>
      <c r="J697" t="str">
        <f>"5142209194"</f>
        <v>5142209194</v>
      </c>
      <c r="K697" t="s">
        <v>2836</v>
      </c>
      <c r="L697" t="s">
        <v>313</v>
      </c>
      <c r="M697" t="s">
        <v>21</v>
      </c>
    </row>
    <row r="698" spans="1:13" x14ac:dyDescent="0.35">
      <c r="A698" t="str">
        <f>"162-2655"</f>
        <v>162-2655</v>
      </c>
      <c r="B698" t="s">
        <v>2837</v>
      </c>
      <c r="C698" t="str">
        <f>"3469"</f>
        <v>3469</v>
      </c>
      <c r="D698" t="str">
        <f>"242"</f>
        <v>242</v>
      </c>
      <c r="E698" t="s">
        <v>455</v>
      </c>
      <c r="F698" t="s">
        <v>24</v>
      </c>
      <c r="G698" t="s">
        <v>1097</v>
      </c>
      <c r="H698" t="s">
        <v>17</v>
      </c>
      <c r="I698" t="s">
        <v>18</v>
      </c>
      <c r="J698" t="str">
        <f>"6136760341"</f>
        <v>6136760341</v>
      </c>
      <c r="K698" t="s">
        <v>2838</v>
      </c>
      <c r="L698" t="s">
        <v>29</v>
      </c>
      <c r="M698" t="s">
        <v>21</v>
      </c>
    </row>
    <row r="699" spans="1:13" x14ac:dyDescent="0.35">
      <c r="A699" t="str">
        <f>"163-0753"</f>
        <v>163-0753</v>
      </c>
      <c r="B699" t="s">
        <v>2839</v>
      </c>
      <c r="C699" t="str">
        <f>"10348"</f>
        <v>10348</v>
      </c>
      <c r="E699" t="s">
        <v>2698</v>
      </c>
      <c r="F699" t="s">
        <v>24</v>
      </c>
      <c r="G699" t="s">
        <v>2840</v>
      </c>
      <c r="H699" t="s">
        <v>17</v>
      </c>
      <c r="I699" t="s">
        <v>18</v>
      </c>
      <c r="J699" t="str">
        <f>"5142126937"</f>
        <v>5142126937</v>
      </c>
      <c r="K699" t="s">
        <v>2841</v>
      </c>
      <c r="L699" t="s">
        <v>39</v>
      </c>
      <c r="M699" t="s">
        <v>21</v>
      </c>
    </row>
    <row r="700" spans="1:13" x14ac:dyDescent="0.35">
      <c r="A700" t="str">
        <f>"164-5902"</f>
        <v>164-5902</v>
      </c>
      <c r="B700" t="s">
        <v>2842</v>
      </c>
      <c r="C700" t="str">
        <f>"10266"</f>
        <v>10266</v>
      </c>
      <c r="E700" t="s">
        <v>2843</v>
      </c>
      <c r="F700" t="s">
        <v>24</v>
      </c>
      <c r="G700" t="s">
        <v>2844</v>
      </c>
      <c r="H700" t="s">
        <v>17</v>
      </c>
      <c r="I700" t="s">
        <v>18</v>
      </c>
      <c r="J700" t="str">
        <f>"8738402202"</f>
        <v>8738402202</v>
      </c>
      <c r="K700" t="s">
        <v>2845</v>
      </c>
      <c r="L700" t="s">
        <v>313</v>
      </c>
      <c r="M700" t="s">
        <v>21</v>
      </c>
    </row>
    <row r="701" spans="1:13" x14ac:dyDescent="0.35">
      <c r="A701" t="str">
        <f>"174-1938"</f>
        <v>174-1938</v>
      </c>
      <c r="B701" t="s">
        <v>2846</v>
      </c>
      <c r="C701" t="str">
        <f>"4470"</f>
        <v>4470</v>
      </c>
      <c r="D701" t="str">
        <f>"12"</f>
        <v>12</v>
      </c>
      <c r="E701" t="s">
        <v>455</v>
      </c>
      <c r="F701" t="s">
        <v>24</v>
      </c>
      <c r="G701" t="s">
        <v>456</v>
      </c>
      <c r="H701" t="s">
        <v>17</v>
      </c>
      <c r="I701" t="s">
        <v>18</v>
      </c>
      <c r="J701" t="str">
        <f>"4383962440"</f>
        <v>4383962440</v>
      </c>
      <c r="K701" t="s">
        <v>2847</v>
      </c>
      <c r="L701" t="s">
        <v>313</v>
      </c>
      <c r="M701" t="s">
        <v>21</v>
      </c>
    </row>
    <row r="702" spans="1:13" x14ac:dyDescent="0.35">
      <c r="A702" t="str">
        <f>"182-1018"</f>
        <v>182-1018</v>
      </c>
      <c r="B702" t="s">
        <v>2848</v>
      </c>
      <c r="C702" t="str">
        <f>"3350"</f>
        <v>3350</v>
      </c>
      <c r="D702" t="str">
        <f>"1"</f>
        <v>1</v>
      </c>
      <c r="E702" t="s">
        <v>2849</v>
      </c>
      <c r="F702" t="s">
        <v>2850</v>
      </c>
      <c r="G702" t="s">
        <v>2851</v>
      </c>
      <c r="H702" t="s">
        <v>17</v>
      </c>
      <c r="I702" t="s">
        <v>18</v>
      </c>
      <c r="J702" t="str">
        <f>"4508991880"</f>
        <v>4508991880</v>
      </c>
      <c r="K702" t="s">
        <v>2852</v>
      </c>
      <c r="L702" t="s">
        <v>319</v>
      </c>
      <c r="M702" t="s">
        <v>21</v>
      </c>
    </row>
    <row r="703" spans="1:13" x14ac:dyDescent="0.35">
      <c r="A703" t="str">
        <f>"185-7780"</f>
        <v>185-7780</v>
      </c>
      <c r="B703" t="s">
        <v>2853</v>
      </c>
      <c r="C703" t="str">
        <f>"1932"</f>
        <v>1932</v>
      </c>
      <c r="E703" t="s">
        <v>2854</v>
      </c>
      <c r="F703" t="s">
        <v>24</v>
      </c>
      <c r="G703" t="s">
        <v>2855</v>
      </c>
      <c r="H703" t="s">
        <v>17</v>
      </c>
      <c r="I703" t="s">
        <v>18</v>
      </c>
      <c r="J703" t="str">
        <f>"5145918296"</f>
        <v>5145918296</v>
      </c>
      <c r="K703" t="s">
        <v>2856</v>
      </c>
      <c r="L703" t="s">
        <v>313</v>
      </c>
      <c r="M703" t="s">
        <v>21</v>
      </c>
    </row>
    <row r="704" spans="1:13" x14ac:dyDescent="0.35">
      <c r="A704" t="str">
        <f>"185-8637"</f>
        <v>185-8637</v>
      </c>
      <c r="B704" t="s">
        <v>2857</v>
      </c>
      <c r="C704" t="str">
        <f>"5192"</f>
        <v>5192</v>
      </c>
      <c r="E704" t="s">
        <v>2858</v>
      </c>
      <c r="F704" t="s">
        <v>24</v>
      </c>
      <c r="G704" t="s">
        <v>2859</v>
      </c>
      <c r="H704" t="s">
        <v>17</v>
      </c>
      <c r="I704" t="s">
        <v>18</v>
      </c>
      <c r="J704" t="str">
        <f>"4383977885"</f>
        <v>4383977885</v>
      </c>
      <c r="K704" t="s">
        <v>2860</v>
      </c>
      <c r="L704" t="s">
        <v>319</v>
      </c>
      <c r="M704" t="s">
        <v>21</v>
      </c>
    </row>
    <row r="705" spans="1:13" x14ac:dyDescent="0.35">
      <c r="A705" t="str">
        <f>"187-0024"</f>
        <v>187-0024</v>
      </c>
      <c r="B705" t="s">
        <v>2861</v>
      </c>
      <c r="C705" t="str">
        <f>"12300"</f>
        <v>12300</v>
      </c>
      <c r="E705" t="s">
        <v>2862</v>
      </c>
      <c r="F705" t="s">
        <v>24</v>
      </c>
      <c r="G705" t="s">
        <v>2863</v>
      </c>
      <c r="H705" t="s">
        <v>17</v>
      </c>
      <c r="I705" t="s">
        <v>18</v>
      </c>
      <c r="J705" t="str">
        <f>"4388631292"</f>
        <v>4388631292</v>
      </c>
      <c r="K705" t="s">
        <v>2864</v>
      </c>
      <c r="L705" t="s">
        <v>27</v>
      </c>
      <c r="M705" t="s">
        <v>21</v>
      </c>
    </row>
    <row r="706" spans="1:13" x14ac:dyDescent="0.35">
      <c r="A706" t="str">
        <f>"187-7157"</f>
        <v>187-7157</v>
      </c>
      <c r="B706" t="s">
        <v>2865</v>
      </c>
      <c r="C706" t="str">
        <f>"2565"</f>
        <v>2565</v>
      </c>
      <c r="E706" t="s">
        <v>2866</v>
      </c>
      <c r="F706" t="s">
        <v>24</v>
      </c>
      <c r="G706" t="s">
        <v>2867</v>
      </c>
      <c r="H706" t="s">
        <v>17</v>
      </c>
      <c r="I706" t="s">
        <v>18</v>
      </c>
      <c r="J706" t="str">
        <f>"4383659655"</f>
        <v>4383659655</v>
      </c>
      <c r="K706" t="s">
        <v>2868</v>
      </c>
      <c r="L706" t="s">
        <v>27</v>
      </c>
      <c r="M706" t="s">
        <v>21</v>
      </c>
    </row>
    <row r="707" spans="1:13" x14ac:dyDescent="0.35">
      <c r="A707" t="str">
        <f>"191-5806"</f>
        <v>191-5806</v>
      </c>
      <c r="B707" t="s">
        <v>2869</v>
      </c>
      <c r="C707" t="str">
        <f>"11039"</f>
        <v>11039</v>
      </c>
      <c r="E707" t="s">
        <v>2870</v>
      </c>
      <c r="F707" t="s">
        <v>24</v>
      </c>
      <c r="G707" t="s">
        <v>2871</v>
      </c>
      <c r="H707" t="s">
        <v>17</v>
      </c>
      <c r="I707" t="s">
        <v>18</v>
      </c>
      <c r="J707" t="str">
        <f>"5144673781"</f>
        <v>5144673781</v>
      </c>
      <c r="K707" t="s">
        <v>2872</v>
      </c>
      <c r="L707" t="s">
        <v>168</v>
      </c>
      <c r="M707" t="s">
        <v>21</v>
      </c>
    </row>
    <row r="708" spans="1:13" x14ac:dyDescent="0.35">
      <c r="A708" t="str">
        <f>"195-6673"</f>
        <v>195-6673</v>
      </c>
      <c r="B708" t="s">
        <v>2875</v>
      </c>
      <c r="C708" t="str">
        <f>"3620"</f>
        <v>3620</v>
      </c>
      <c r="D708" t="str">
        <f>"24"</f>
        <v>24</v>
      </c>
      <c r="E708" t="s">
        <v>2607</v>
      </c>
      <c r="F708" t="s">
        <v>24</v>
      </c>
      <c r="G708" t="s">
        <v>2876</v>
      </c>
      <c r="H708" t="s">
        <v>17</v>
      </c>
      <c r="I708" t="s">
        <v>18</v>
      </c>
      <c r="J708" t="str">
        <f>"8195070440"</f>
        <v>8195070440</v>
      </c>
      <c r="K708" t="s">
        <v>2877</v>
      </c>
      <c r="L708" t="s">
        <v>20</v>
      </c>
      <c r="M708" t="s">
        <v>21</v>
      </c>
    </row>
    <row r="709" spans="1:13" x14ac:dyDescent="0.35">
      <c r="A709" t="str">
        <f>"196-1523"</f>
        <v>196-1523</v>
      </c>
      <c r="B709" t="s">
        <v>2878</v>
      </c>
      <c r="C709" t="str">
        <f>"5505"</f>
        <v>5505</v>
      </c>
      <c r="E709" t="s">
        <v>2879</v>
      </c>
      <c r="F709" t="s">
        <v>2880</v>
      </c>
      <c r="G709" t="s">
        <v>2881</v>
      </c>
      <c r="H709" t="s">
        <v>17</v>
      </c>
      <c r="I709" t="s">
        <v>18</v>
      </c>
      <c r="J709" t="str">
        <f>"5147151315"</f>
        <v>5147151315</v>
      </c>
      <c r="K709" t="s">
        <v>2882</v>
      </c>
      <c r="L709" t="s">
        <v>319</v>
      </c>
      <c r="M709" t="s">
        <v>21</v>
      </c>
    </row>
    <row r="710" spans="1:13" x14ac:dyDescent="0.35">
      <c r="A710" t="str">
        <f>"196-2797"</f>
        <v>196-2797</v>
      </c>
      <c r="B710" t="s">
        <v>2883</v>
      </c>
      <c r="C710" t="str">
        <f>"3323"</f>
        <v>3323</v>
      </c>
      <c r="E710" t="s">
        <v>2884</v>
      </c>
      <c r="F710" t="s">
        <v>143</v>
      </c>
      <c r="G710" t="s">
        <v>2885</v>
      </c>
      <c r="H710" t="s">
        <v>17</v>
      </c>
      <c r="I710" t="s">
        <v>18</v>
      </c>
      <c r="J710" t="str">
        <f>"4383685582"</f>
        <v>4383685582</v>
      </c>
      <c r="K710" t="s">
        <v>2886</v>
      </c>
      <c r="L710" t="s">
        <v>27</v>
      </c>
      <c r="M710" t="s">
        <v>21</v>
      </c>
    </row>
    <row r="711" spans="1:13" x14ac:dyDescent="0.35">
      <c r="A711" t="str">
        <f>"196-6799"</f>
        <v>196-6799</v>
      </c>
      <c r="B711" t="s">
        <v>2887</v>
      </c>
      <c r="C711" t="str">
        <f>"123"</f>
        <v>123</v>
      </c>
      <c r="E711" t="s">
        <v>2888</v>
      </c>
      <c r="F711" t="s">
        <v>143</v>
      </c>
      <c r="G711" t="s">
        <v>2889</v>
      </c>
      <c r="H711" t="s">
        <v>17</v>
      </c>
      <c r="I711" t="s">
        <v>18</v>
      </c>
      <c r="J711" t="str">
        <f>"4388359684"</f>
        <v>4388359684</v>
      </c>
      <c r="K711" t="s">
        <v>2890</v>
      </c>
      <c r="L711" t="s">
        <v>39</v>
      </c>
      <c r="M711" t="s">
        <v>21</v>
      </c>
    </row>
    <row r="712" spans="1:13" x14ac:dyDescent="0.35">
      <c r="A712" t="str">
        <f>"197-2265"</f>
        <v>197-2265</v>
      </c>
      <c r="B712" t="s">
        <v>2891</v>
      </c>
      <c r="C712" t="str">
        <f>"3809"</f>
        <v>3809</v>
      </c>
      <c r="D712" t="str">
        <f>"A"</f>
        <v>A</v>
      </c>
      <c r="E712" t="s">
        <v>2892</v>
      </c>
      <c r="F712" t="s">
        <v>24</v>
      </c>
      <c r="G712" t="s">
        <v>2893</v>
      </c>
      <c r="H712" t="s">
        <v>17</v>
      </c>
      <c r="I712" t="s">
        <v>18</v>
      </c>
      <c r="J712" t="str">
        <f>"5147786164"</f>
        <v>5147786164</v>
      </c>
      <c r="K712" t="s">
        <v>2894</v>
      </c>
      <c r="L712" t="s">
        <v>198</v>
      </c>
      <c r="M712" t="s">
        <v>21</v>
      </c>
    </row>
    <row r="713" spans="1:13" x14ac:dyDescent="0.35">
      <c r="A713" t="str">
        <f>"197-5030"</f>
        <v>197-5030</v>
      </c>
      <c r="B713" t="s">
        <v>2895</v>
      </c>
      <c r="C713" t="str">
        <f>"11188"</f>
        <v>11188</v>
      </c>
      <c r="E713" t="s">
        <v>2896</v>
      </c>
      <c r="F713" t="s">
        <v>40</v>
      </c>
      <c r="G713" t="s">
        <v>501</v>
      </c>
      <c r="H713" t="s">
        <v>17</v>
      </c>
      <c r="I713" t="s">
        <v>18</v>
      </c>
      <c r="J713" t="str">
        <f>"5145618250"</f>
        <v>5145618250</v>
      </c>
      <c r="K713" t="s">
        <v>2897</v>
      </c>
      <c r="L713" t="s">
        <v>29</v>
      </c>
      <c r="M713" t="s">
        <v>21</v>
      </c>
    </row>
    <row r="714" spans="1:13" x14ac:dyDescent="0.35">
      <c r="A714" t="str">
        <f>"201-0215"</f>
        <v>201-0215</v>
      </c>
      <c r="B714" t="s">
        <v>2898</v>
      </c>
      <c r="C714" t="str">
        <f>"1315"</f>
        <v>1315</v>
      </c>
      <c r="E714" t="s">
        <v>2899</v>
      </c>
      <c r="F714" t="s">
        <v>1554</v>
      </c>
      <c r="G714" t="s">
        <v>2900</v>
      </c>
      <c r="H714" t="s">
        <v>17</v>
      </c>
      <c r="I714" t="s">
        <v>18</v>
      </c>
      <c r="J714" t="str">
        <f>"4384971975"</f>
        <v>4384971975</v>
      </c>
      <c r="K714" t="s">
        <v>2901</v>
      </c>
      <c r="L714" t="s">
        <v>39</v>
      </c>
      <c r="M714" t="s">
        <v>21</v>
      </c>
    </row>
    <row r="715" spans="1:13" x14ac:dyDescent="0.35">
      <c r="A715" t="str">
        <f>"203-2996"</f>
        <v>203-2996</v>
      </c>
      <c r="B715" t="s">
        <v>2902</v>
      </c>
      <c r="C715" t="str">
        <f>"120"</f>
        <v>120</v>
      </c>
      <c r="E715" t="s">
        <v>2903</v>
      </c>
      <c r="F715" t="s">
        <v>2739</v>
      </c>
      <c r="G715" t="s">
        <v>2904</v>
      </c>
      <c r="H715" t="s">
        <v>17</v>
      </c>
      <c r="I715" t="s">
        <v>18</v>
      </c>
      <c r="J715" t="str">
        <f>"4508226826"</f>
        <v>4508226826</v>
      </c>
      <c r="K715" t="s">
        <v>2905</v>
      </c>
      <c r="L715" t="s">
        <v>39</v>
      </c>
      <c r="M715" t="s">
        <v>21</v>
      </c>
    </row>
    <row r="716" spans="1:13" x14ac:dyDescent="0.35">
      <c r="A716" t="str">
        <f>"207-7724"</f>
        <v>207-7724</v>
      </c>
      <c r="B716" t="s">
        <v>2906</v>
      </c>
      <c r="C716" t="str">
        <f>"12440"</f>
        <v>12440</v>
      </c>
      <c r="E716" t="s">
        <v>2907</v>
      </c>
      <c r="F716" t="s">
        <v>24</v>
      </c>
      <c r="G716" t="s">
        <v>2908</v>
      </c>
      <c r="H716" t="s">
        <v>17</v>
      </c>
      <c r="I716" t="s">
        <v>18</v>
      </c>
      <c r="J716" t="str">
        <f>"4383459203"</f>
        <v>4383459203</v>
      </c>
      <c r="K716" t="s">
        <v>2909</v>
      </c>
      <c r="L716" t="s">
        <v>29</v>
      </c>
      <c r="M716" t="s">
        <v>21</v>
      </c>
    </row>
    <row r="717" spans="1:13" x14ac:dyDescent="0.35">
      <c r="A717" t="str">
        <f>"208-5325"</f>
        <v>208-5325</v>
      </c>
      <c r="B717" t="s">
        <v>2910</v>
      </c>
      <c r="C717" t="str">
        <f>"74"</f>
        <v>74</v>
      </c>
      <c r="E717" t="s">
        <v>2911</v>
      </c>
      <c r="F717" t="s">
        <v>2148</v>
      </c>
      <c r="G717" t="s">
        <v>2912</v>
      </c>
      <c r="H717" t="s">
        <v>17</v>
      </c>
      <c r="I717" t="s">
        <v>18</v>
      </c>
      <c r="J717" t="str">
        <f>"4383970230"</f>
        <v>4383970230</v>
      </c>
      <c r="K717" t="s">
        <v>2913</v>
      </c>
      <c r="L717" t="s">
        <v>20</v>
      </c>
      <c r="M717" t="s">
        <v>21</v>
      </c>
    </row>
    <row r="718" spans="1:13" x14ac:dyDescent="0.35">
      <c r="A718" t="str">
        <f>"211-5247"</f>
        <v>211-5247</v>
      </c>
      <c r="B718" t="s">
        <v>2914</v>
      </c>
      <c r="C718" t="str">
        <f>"9710"</f>
        <v>9710</v>
      </c>
      <c r="E718" t="s">
        <v>2915</v>
      </c>
      <c r="F718" t="s">
        <v>24</v>
      </c>
      <c r="G718" t="s">
        <v>2916</v>
      </c>
      <c r="H718" t="s">
        <v>17</v>
      </c>
      <c r="I718" t="s">
        <v>18</v>
      </c>
      <c r="J718" t="str">
        <f>"5147785375"</f>
        <v>5147785375</v>
      </c>
      <c r="K718" t="s">
        <v>2917</v>
      </c>
      <c r="L718" t="s">
        <v>29</v>
      </c>
      <c r="M718" t="s">
        <v>21</v>
      </c>
    </row>
    <row r="719" spans="1:13" x14ac:dyDescent="0.35">
      <c r="A719" t="str">
        <f>"215-3083"</f>
        <v>215-3083</v>
      </c>
      <c r="B719" t="s">
        <v>2918</v>
      </c>
      <c r="C719" t="str">
        <f>"3469"</f>
        <v>3469</v>
      </c>
      <c r="D719" t="str">
        <f>"131"</f>
        <v>131</v>
      </c>
      <c r="E719" t="s">
        <v>455</v>
      </c>
      <c r="F719" t="s">
        <v>24</v>
      </c>
      <c r="G719" t="s">
        <v>1097</v>
      </c>
      <c r="H719" t="s">
        <v>17</v>
      </c>
      <c r="I719" t="s">
        <v>18</v>
      </c>
      <c r="J719" t="str">
        <f>"5818886996"</f>
        <v>5818886996</v>
      </c>
      <c r="K719" t="s">
        <v>2919</v>
      </c>
      <c r="L719" t="s">
        <v>313</v>
      </c>
      <c r="M719" t="s">
        <v>21</v>
      </c>
    </row>
    <row r="720" spans="1:13" x14ac:dyDescent="0.35">
      <c r="A720" t="str">
        <f>"216-2632"</f>
        <v>216-2632</v>
      </c>
      <c r="B720" t="s">
        <v>2921</v>
      </c>
      <c r="C720" t="str">
        <f>"10652"</f>
        <v>10652</v>
      </c>
      <c r="E720" t="s">
        <v>1665</v>
      </c>
      <c r="F720" t="s">
        <v>24</v>
      </c>
      <c r="G720" t="s">
        <v>2922</v>
      </c>
      <c r="H720" t="s">
        <v>17</v>
      </c>
      <c r="I720" t="s">
        <v>18</v>
      </c>
      <c r="J720" t="str">
        <f>"5147781549"</f>
        <v>5147781549</v>
      </c>
      <c r="K720" t="s">
        <v>2923</v>
      </c>
      <c r="L720" t="s">
        <v>29</v>
      </c>
      <c r="M720" t="s">
        <v>21</v>
      </c>
    </row>
    <row r="721" spans="1:13" x14ac:dyDescent="0.35">
      <c r="A721" t="str">
        <f>"216-8568"</f>
        <v>216-8568</v>
      </c>
      <c r="B721" t="s">
        <v>2924</v>
      </c>
      <c r="C721" t="str">
        <f>"9241"</f>
        <v>9241</v>
      </c>
      <c r="E721" t="s">
        <v>28</v>
      </c>
      <c r="F721" t="s">
        <v>24</v>
      </c>
      <c r="G721" t="s">
        <v>2925</v>
      </c>
      <c r="H721" t="s">
        <v>17</v>
      </c>
      <c r="I721" t="s">
        <v>18</v>
      </c>
      <c r="J721" t="str">
        <f>"5146647532"</f>
        <v>5146647532</v>
      </c>
      <c r="K721" t="s">
        <v>2926</v>
      </c>
      <c r="L721" t="s">
        <v>29</v>
      </c>
      <c r="M721" t="s">
        <v>21</v>
      </c>
    </row>
    <row r="722" spans="1:13" x14ac:dyDescent="0.35">
      <c r="A722" t="str">
        <f>"217-0737"</f>
        <v>217-0737</v>
      </c>
      <c r="B722" t="s">
        <v>2927</v>
      </c>
      <c r="C722" t="str">
        <f>"125"</f>
        <v>125</v>
      </c>
      <c r="E722" t="s">
        <v>2928</v>
      </c>
      <c r="F722" t="s">
        <v>2148</v>
      </c>
      <c r="G722" t="s">
        <v>2929</v>
      </c>
      <c r="H722" t="s">
        <v>17</v>
      </c>
      <c r="I722" t="s">
        <v>18</v>
      </c>
      <c r="J722" t="str">
        <f>"4385033746"</f>
        <v>4385033746</v>
      </c>
      <c r="K722" t="s">
        <v>2930</v>
      </c>
      <c r="L722" t="s">
        <v>319</v>
      </c>
      <c r="M722" t="s">
        <v>21</v>
      </c>
    </row>
    <row r="723" spans="1:13" x14ac:dyDescent="0.35">
      <c r="A723" t="str">
        <f>"217-5910"</f>
        <v>217-5910</v>
      </c>
      <c r="B723" t="s">
        <v>2931</v>
      </c>
      <c r="C723" t="str">
        <f>"17903"</f>
        <v>17903</v>
      </c>
      <c r="E723" t="s">
        <v>2932</v>
      </c>
      <c r="F723" t="s">
        <v>1680</v>
      </c>
      <c r="G723" t="s">
        <v>2933</v>
      </c>
      <c r="H723" t="s">
        <v>17</v>
      </c>
      <c r="I723" t="s">
        <v>18</v>
      </c>
      <c r="J723" t="str">
        <f>"4386309722"</f>
        <v>4386309722</v>
      </c>
      <c r="K723" t="s">
        <v>2934</v>
      </c>
      <c r="L723" t="s">
        <v>20</v>
      </c>
      <c r="M723" t="s">
        <v>21</v>
      </c>
    </row>
    <row r="724" spans="1:13" x14ac:dyDescent="0.35">
      <c r="A724" t="str">
        <f>"217-9561"</f>
        <v>217-9561</v>
      </c>
      <c r="B724" t="s">
        <v>2935</v>
      </c>
      <c r="C724" t="str">
        <f>"1300"</f>
        <v>1300</v>
      </c>
      <c r="E724" t="s">
        <v>2936</v>
      </c>
      <c r="F724" t="s">
        <v>24</v>
      </c>
      <c r="G724" t="s">
        <v>2937</v>
      </c>
      <c r="H724" t="s">
        <v>17</v>
      </c>
      <c r="I724" t="s">
        <v>18</v>
      </c>
      <c r="J724" t="str">
        <f>"5149653022"</f>
        <v>5149653022</v>
      </c>
      <c r="K724" t="s">
        <v>2938</v>
      </c>
      <c r="L724" t="s">
        <v>193</v>
      </c>
      <c r="M724" t="s">
        <v>21</v>
      </c>
    </row>
    <row r="725" spans="1:13" x14ac:dyDescent="0.35">
      <c r="A725" t="str">
        <f>"218-1941"</f>
        <v>218-1941</v>
      </c>
      <c r="B725" t="s">
        <v>2939</v>
      </c>
      <c r="C725" t="str">
        <f>"4198"</f>
        <v>4198</v>
      </c>
      <c r="E725" t="s">
        <v>2940</v>
      </c>
      <c r="F725" t="s">
        <v>24</v>
      </c>
      <c r="G725" t="s">
        <v>2941</v>
      </c>
      <c r="H725" t="s">
        <v>17</v>
      </c>
      <c r="I725" t="s">
        <v>18</v>
      </c>
      <c r="J725" t="str">
        <f>"4389897864"</f>
        <v>4389897864</v>
      </c>
      <c r="K725" t="s">
        <v>2942</v>
      </c>
      <c r="L725" t="s">
        <v>396</v>
      </c>
      <c r="M725" t="s">
        <v>21</v>
      </c>
    </row>
    <row r="726" spans="1:13" x14ac:dyDescent="0.35">
      <c r="A726" t="str">
        <f>"218-5565"</f>
        <v>218-5565</v>
      </c>
      <c r="B726" t="s">
        <v>2943</v>
      </c>
      <c r="C726" t="str">
        <f>"852"</f>
        <v>852</v>
      </c>
      <c r="E726" t="s">
        <v>2944</v>
      </c>
      <c r="F726" t="s">
        <v>430</v>
      </c>
      <c r="G726" t="s">
        <v>2945</v>
      </c>
      <c r="H726" t="s">
        <v>17</v>
      </c>
      <c r="I726" t="s">
        <v>18</v>
      </c>
      <c r="J726" t="str">
        <f>"5143864219"</f>
        <v>5143864219</v>
      </c>
      <c r="K726" t="s">
        <v>2946</v>
      </c>
      <c r="L726" t="s">
        <v>168</v>
      </c>
      <c r="M726" t="s">
        <v>21</v>
      </c>
    </row>
    <row r="727" spans="1:13" x14ac:dyDescent="0.35">
      <c r="A727" t="str">
        <f>"219-2865"</f>
        <v>219-2865</v>
      </c>
      <c r="B727" t="s">
        <v>2947</v>
      </c>
      <c r="C727" t="str">
        <f>"4436"</f>
        <v>4436</v>
      </c>
      <c r="D727" t="str">
        <f>"219286"</f>
        <v>219286</v>
      </c>
      <c r="E727" t="s">
        <v>1449</v>
      </c>
      <c r="F727" t="s">
        <v>24</v>
      </c>
      <c r="G727" t="s">
        <v>2948</v>
      </c>
      <c r="H727" t="s">
        <v>17</v>
      </c>
      <c r="I727" t="s">
        <v>18</v>
      </c>
      <c r="J727" t="str">
        <f>"5142407289"</f>
        <v>5142407289</v>
      </c>
      <c r="K727" t="s">
        <v>2949</v>
      </c>
      <c r="L727" t="s">
        <v>466</v>
      </c>
      <c r="M727" t="s">
        <v>21</v>
      </c>
    </row>
    <row r="728" spans="1:13" x14ac:dyDescent="0.35">
      <c r="A728" t="str">
        <f>"223-0263"</f>
        <v>223-0263</v>
      </c>
      <c r="B728" t="s">
        <v>2950</v>
      </c>
      <c r="C728" t="str">
        <f>"5395"</f>
        <v>5395</v>
      </c>
      <c r="D728" t="str">
        <f>"A"</f>
        <v>A</v>
      </c>
      <c r="E728" t="s">
        <v>2951</v>
      </c>
      <c r="F728" t="s">
        <v>24</v>
      </c>
      <c r="G728" t="s">
        <v>2952</v>
      </c>
      <c r="H728" t="s">
        <v>17</v>
      </c>
      <c r="I728" t="s">
        <v>18</v>
      </c>
      <c r="J728" t="str">
        <f>"5144485665"</f>
        <v>5144485665</v>
      </c>
      <c r="K728" t="s">
        <v>2953</v>
      </c>
      <c r="L728" t="s">
        <v>39</v>
      </c>
      <c r="M728" t="s">
        <v>21</v>
      </c>
    </row>
    <row r="729" spans="1:13" x14ac:dyDescent="0.35">
      <c r="A729" t="str">
        <f>"223-0729"</f>
        <v>223-0729</v>
      </c>
      <c r="B729" t="s">
        <v>2954</v>
      </c>
      <c r="C729" t="str">
        <f>"410"</f>
        <v>410</v>
      </c>
      <c r="D729" t="str">
        <f>"4"</f>
        <v>4</v>
      </c>
      <c r="E729" t="s">
        <v>2955</v>
      </c>
      <c r="F729" t="s">
        <v>54</v>
      </c>
      <c r="G729" t="s">
        <v>2956</v>
      </c>
      <c r="H729" t="s">
        <v>17</v>
      </c>
      <c r="I729" t="s">
        <v>18</v>
      </c>
      <c r="J729" t="str">
        <f>"4389935920"</f>
        <v>4389935920</v>
      </c>
      <c r="K729" t="s">
        <v>2957</v>
      </c>
      <c r="L729" t="s">
        <v>350</v>
      </c>
      <c r="M729" t="s">
        <v>21</v>
      </c>
    </row>
    <row r="730" spans="1:13" x14ac:dyDescent="0.35">
      <c r="A730" t="str">
        <f>"223-0861"</f>
        <v>223-0861</v>
      </c>
      <c r="B730" t="s">
        <v>2958</v>
      </c>
      <c r="C730" t="str">
        <f>"735"</f>
        <v>735</v>
      </c>
      <c r="E730" t="s">
        <v>2959</v>
      </c>
      <c r="F730" t="s">
        <v>2960</v>
      </c>
      <c r="G730" t="s">
        <v>2961</v>
      </c>
      <c r="H730" t="s">
        <v>17</v>
      </c>
      <c r="I730" t="s">
        <v>18</v>
      </c>
      <c r="J730" t="str">
        <f>"8199939010"</f>
        <v>8199939010</v>
      </c>
      <c r="K730" t="s">
        <v>2962</v>
      </c>
      <c r="L730" t="s">
        <v>313</v>
      </c>
      <c r="M730" t="s">
        <v>21</v>
      </c>
    </row>
    <row r="731" spans="1:13" x14ac:dyDescent="0.35">
      <c r="A731" t="str">
        <f>"223-1607"</f>
        <v>223-1607</v>
      </c>
      <c r="B731" t="s">
        <v>2963</v>
      </c>
      <c r="C731" t="str">
        <f>"10833"</f>
        <v>10833</v>
      </c>
      <c r="D731" t="str">
        <f>"4"</f>
        <v>4</v>
      </c>
      <c r="E731" t="s">
        <v>1396</v>
      </c>
      <c r="F731" t="s">
        <v>24</v>
      </c>
      <c r="G731" t="s">
        <v>2964</v>
      </c>
      <c r="H731" t="s">
        <v>17</v>
      </c>
      <c r="I731" t="s">
        <v>18</v>
      </c>
      <c r="J731" t="str">
        <f>"4389900876"</f>
        <v>4389900876</v>
      </c>
      <c r="K731" t="s">
        <v>2965</v>
      </c>
      <c r="L731" t="s">
        <v>350</v>
      </c>
      <c r="M731" t="s">
        <v>21</v>
      </c>
    </row>
    <row r="732" spans="1:13" x14ac:dyDescent="0.35">
      <c r="A732" t="str">
        <f>"223-1909"</f>
        <v>223-1909</v>
      </c>
      <c r="B732" t="s">
        <v>2966</v>
      </c>
      <c r="C732" t="str">
        <f>"3469"</f>
        <v>3469</v>
      </c>
      <c r="D732" t="str">
        <f>"117"</f>
        <v>117</v>
      </c>
      <c r="E732" t="s">
        <v>455</v>
      </c>
      <c r="F732" t="s">
        <v>24</v>
      </c>
      <c r="G732" t="s">
        <v>1097</v>
      </c>
      <c r="H732" t="s">
        <v>17</v>
      </c>
      <c r="I732" t="s">
        <v>18</v>
      </c>
      <c r="J732" t="str">
        <f>"5149142568"</f>
        <v>5149142568</v>
      </c>
      <c r="K732" t="s">
        <v>2967</v>
      </c>
      <c r="L732" t="s">
        <v>350</v>
      </c>
      <c r="M732" t="s">
        <v>21</v>
      </c>
    </row>
    <row r="733" spans="1:13" x14ac:dyDescent="0.35">
      <c r="A733" t="str">
        <f>"223-2360"</f>
        <v>223-2360</v>
      </c>
      <c r="B733" t="s">
        <v>2968</v>
      </c>
      <c r="C733" t="str">
        <f>"8145"</f>
        <v>8145</v>
      </c>
      <c r="E733" t="s">
        <v>2679</v>
      </c>
      <c r="F733" t="s">
        <v>24</v>
      </c>
      <c r="G733" t="s">
        <v>2969</v>
      </c>
      <c r="H733" t="s">
        <v>17</v>
      </c>
      <c r="I733" t="s">
        <v>18</v>
      </c>
      <c r="J733" t="str">
        <f>"4389693529"</f>
        <v>4389693529</v>
      </c>
      <c r="K733" t="s">
        <v>2970</v>
      </c>
      <c r="L733" t="s">
        <v>534</v>
      </c>
      <c r="M733" t="s">
        <v>21</v>
      </c>
    </row>
    <row r="734" spans="1:13" x14ac:dyDescent="0.35">
      <c r="A734" t="str">
        <f>"223-2641"</f>
        <v>223-2641</v>
      </c>
      <c r="B734" t="s">
        <v>2971</v>
      </c>
      <c r="C734" t="str">
        <f>"12331"</f>
        <v>12331</v>
      </c>
      <c r="E734" t="s">
        <v>2972</v>
      </c>
      <c r="F734" t="s">
        <v>24</v>
      </c>
      <c r="G734" t="s">
        <v>2973</v>
      </c>
      <c r="H734" t="s">
        <v>17</v>
      </c>
      <c r="I734" t="s">
        <v>18</v>
      </c>
      <c r="J734" t="str">
        <f>"4382214103"</f>
        <v>4382214103</v>
      </c>
      <c r="K734" t="s">
        <v>2974</v>
      </c>
      <c r="L734" t="s">
        <v>27</v>
      </c>
      <c r="M734" t="s">
        <v>21</v>
      </c>
    </row>
    <row r="735" spans="1:13" x14ac:dyDescent="0.35">
      <c r="A735" t="str">
        <f>"223-4335"</f>
        <v>223-4335</v>
      </c>
      <c r="B735" t="s">
        <v>2975</v>
      </c>
      <c r="C735" t="str">
        <f>"8391"</f>
        <v>8391</v>
      </c>
      <c r="E735" t="s">
        <v>1791</v>
      </c>
      <c r="F735" t="s">
        <v>24</v>
      </c>
      <c r="G735" t="s">
        <v>2976</v>
      </c>
      <c r="H735" t="s">
        <v>17</v>
      </c>
      <c r="I735" t="s">
        <v>18</v>
      </c>
      <c r="J735" t="str">
        <f>"4389782919"</f>
        <v>4389782919</v>
      </c>
      <c r="K735" t="s">
        <v>2977</v>
      </c>
      <c r="L735" t="s">
        <v>27</v>
      </c>
      <c r="M735" t="s">
        <v>21</v>
      </c>
    </row>
    <row r="736" spans="1:13" x14ac:dyDescent="0.35">
      <c r="A736" t="str">
        <f>"223-5132"</f>
        <v>223-5132</v>
      </c>
      <c r="B736" t="s">
        <v>2978</v>
      </c>
      <c r="C736" t="str">
        <f>"8391"</f>
        <v>8391</v>
      </c>
      <c r="E736" t="s">
        <v>1791</v>
      </c>
      <c r="F736" t="s">
        <v>24</v>
      </c>
      <c r="G736" t="s">
        <v>2976</v>
      </c>
      <c r="H736" t="s">
        <v>17</v>
      </c>
      <c r="I736" t="s">
        <v>18</v>
      </c>
      <c r="J736" t="str">
        <f>"5146212919"</f>
        <v>5146212919</v>
      </c>
      <c r="K736" t="s">
        <v>2979</v>
      </c>
      <c r="L736" t="s">
        <v>350</v>
      </c>
      <c r="M736" t="s">
        <v>21</v>
      </c>
    </row>
    <row r="737" spans="1:13" x14ac:dyDescent="0.35">
      <c r="A737" t="str">
        <f>"223-5358"</f>
        <v>223-5358</v>
      </c>
      <c r="B737" t="s">
        <v>2980</v>
      </c>
      <c r="C737" t="str">
        <f>"2261"</f>
        <v>2261</v>
      </c>
      <c r="E737" t="s">
        <v>2981</v>
      </c>
      <c r="F737" t="s">
        <v>54</v>
      </c>
      <c r="G737" t="s">
        <v>2982</v>
      </c>
      <c r="H737" t="s">
        <v>17</v>
      </c>
      <c r="I737" t="s">
        <v>18</v>
      </c>
      <c r="J737" t="str">
        <f>"4382208820"</f>
        <v>4382208820</v>
      </c>
      <c r="K737" t="s">
        <v>2983</v>
      </c>
      <c r="L737" t="s">
        <v>313</v>
      </c>
      <c r="M737" t="s">
        <v>21</v>
      </c>
    </row>
    <row r="738" spans="1:13" x14ac:dyDescent="0.35">
      <c r="A738" t="str">
        <f>"223-5549"</f>
        <v>223-5549</v>
      </c>
      <c r="B738" t="s">
        <v>2984</v>
      </c>
      <c r="C738" t="str">
        <f>"9152"</f>
        <v>9152</v>
      </c>
      <c r="E738" t="s">
        <v>2915</v>
      </c>
      <c r="F738" t="s">
        <v>24</v>
      </c>
      <c r="G738" t="s">
        <v>2985</v>
      </c>
      <c r="H738" t="s">
        <v>17</v>
      </c>
      <c r="I738" t="s">
        <v>18</v>
      </c>
      <c r="J738" t="str">
        <f>"4385023005"</f>
        <v>4385023005</v>
      </c>
      <c r="K738" t="s">
        <v>2986</v>
      </c>
      <c r="L738" t="s">
        <v>193</v>
      </c>
      <c r="M738" t="s">
        <v>21</v>
      </c>
    </row>
    <row r="739" spans="1:13" x14ac:dyDescent="0.35">
      <c r="A739" t="str">
        <f>"223-5681"</f>
        <v>223-5681</v>
      </c>
      <c r="B739" t="s">
        <v>2987</v>
      </c>
      <c r="C739" t="str">
        <f>"7530"</f>
        <v>7530</v>
      </c>
      <c r="E739" t="s">
        <v>2988</v>
      </c>
      <c r="F739" t="s">
        <v>24</v>
      </c>
      <c r="G739" t="s">
        <v>2989</v>
      </c>
      <c r="H739" t="s">
        <v>17</v>
      </c>
      <c r="I739" t="s">
        <v>18</v>
      </c>
      <c r="J739" t="str">
        <f>"4382272760"</f>
        <v>4382272760</v>
      </c>
      <c r="K739" t="s">
        <v>2990</v>
      </c>
      <c r="L739" t="s">
        <v>198</v>
      </c>
      <c r="M739" t="s">
        <v>21</v>
      </c>
    </row>
    <row r="740" spans="1:13" x14ac:dyDescent="0.35">
      <c r="A740" t="str">
        <f>"223-6214"</f>
        <v>223-6214</v>
      </c>
      <c r="B740" t="s">
        <v>2991</v>
      </c>
      <c r="C740" t="str">
        <f>"6442"</f>
        <v>6442</v>
      </c>
      <c r="E740" t="s">
        <v>2992</v>
      </c>
      <c r="F740" t="s">
        <v>24</v>
      </c>
      <c r="G740" t="s">
        <v>2993</v>
      </c>
      <c r="H740" t="s">
        <v>17</v>
      </c>
      <c r="I740" t="s">
        <v>18</v>
      </c>
      <c r="J740" t="str">
        <f>"5148627697"</f>
        <v>5148627697</v>
      </c>
      <c r="K740" t="s">
        <v>2994</v>
      </c>
      <c r="L740" t="s">
        <v>396</v>
      </c>
      <c r="M740" t="s">
        <v>21</v>
      </c>
    </row>
    <row r="741" spans="1:13" x14ac:dyDescent="0.35">
      <c r="A741" t="str">
        <f>"223-6300"</f>
        <v>223-6300</v>
      </c>
      <c r="B741" t="s">
        <v>2995</v>
      </c>
      <c r="C741" t="str">
        <f>"375"</f>
        <v>375</v>
      </c>
      <c r="E741" t="s">
        <v>2996</v>
      </c>
      <c r="F741" t="s">
        <v>2997</v>
      </c>
      <c r="G741" t="s">
        <v>2998</v>
      </c>
      <c r="H741" t="s">
        <v>17</v>
      </c>
      <c r="I741" t="s">
        <v>18</v>
      </c>
      <c r="J741" t="str">
        <f>"8193417604"</f>
        <v>8193417604</v>
      </c>
      <c r="K741" t="s">
        <v>2999</v>
      </c>
      <c r="L741" t="s">
        <v>20</v>
      </c>
      <c r="M741" t="s">
        <v>21</v>
      </c>
    </row>
    <row r="742" spans="1:13" x14ac:dyDescent="0.35">
      <c r="A742" t="str">
        <f>"223-6512"</f>
        <v>223-6512</v>
      </c>
      <c r="B742" t="s">
        <v>3000</v>
      </c>
      <c r="C742" t="str">
        <f>"202"</f>
        <v>202</v>
      </c>
      <c r="E742" t="s">
        <v>3001</v>
      </c>
      <c r="F742" t="s">
        <v>143</v>
      </c>
      <c r="G742" t="s">
        <v>3002</v>
      </c>
      <c r="H742" t="s">
        <v>17</v>
      </c>
      <c r="I742" t="s">
        <v>18</v>
      </c>
      <c r="J742" t="str">
        <f>"5147137115"</f>
        <v>5147137115</v>
      </c>
      <c r="K742" t="s">
        <v>3003</v>
      </c>
      <c r="L742" t="s">
        <v>396</v>
      </c>
      <c r="M742" t="s">
        <v>21</v>
      </c>
    </row>
    <row r="743" spans="1:13" x14ac:dyDescent="0.35">
      <c r="A743" t="str">
        <f>"223-7435"</f>
        <v>223-7435</v>
      </c>
      <c r="B743" t="s">
        <v>3005</v>
      </c>
      <c r="C743" t="str">
        <f>"5950"</f>
        <v>5950</v>
      </c>
      <c r="E743" t="s">
        <v>3006</v>
      </c>
      <c r="F743" t="s">
        <v>24</v>
      </c>
      <c r="G743" t="s">
        <v>3007</v>
      </c>
      <c r="H743" t="s">
        <v>17</v>
      </c>
      <c r="I743" t="s">
        <v>18</v>
      </c>
      <c r="J743" t="str">
        <f>"5149107062"</f>
        <v>5149107062</v>
      </c>
      <c r="K743" t="s">
        <v>3008</v>
      </c>
      <c r="L743" t="s">
        <v>203</v>
      </c>
      <c r="M743" t="s">
        <v>21</v>
      </c>
    </row>
    <row r="744" spans="1:13" x14ac:dyDescent="0.35">
      <c r="A744" t="str">
        <f>"224-3785"</f>
        <v>224-3785</v>
      </c>
      <c r="B744" t="s">
        <v>3009</v>
      </c>
      <c r="C744" t="str">
        <f>"4495"</f>
        <v>4495</v>
      </c>
      <c r="D744" t="str">
        <f>"2"</f>
        <v>2</v>
      </c>
      <c r="E744" t="s">
        <v>406</v>
      </c>
      <c r="F744" t="s">
        <v>24</v>
      </c>
      <c r="G744" t="s">
        <v>3010</v>
      </c>
      <c r="H744" t="s">
        <v>17</v>
      </c>
      <c r="I744" t="s">
        <v>18</v>
      </c>
      <c r="J744" t="str">
        <f>"5145595754"</f>
        <v>5145595754</v>
      </c>
      <c r="K744" t="s">
        <v>3011</v>
      </c>
      <c r="L744" t="s">
        <v>275</v>
      </c>
      <c r="M744" t="s">
        <v>21</v>
      </c>
    </row>
    <row r="745" spans="1:13" x14ac:dyDescent="0.35">
      <c r="A745" t="str">
        <f>"224-4649"</f>
        <v>224-4649</v>
      </c>
      <c r="B745" t="s">
        <v>3012</v>
      </c>
      <c r="C745" t="str">
        <f>"468"</f>
        <v>468</v>
      </c>
      <c r="E745" t="s">
        <v>3013</v>
      </c>
      <c r="F745" t="s">
        <v>32</v>
      </c>
      <c r="G745" t="s">
        <v>3014</v>
      </c>
      <c r="H745" t="s">
        <v>17</v>
      </c>
      <c r="I745" t="s">
        <v>18</v>
      </c>
      <c r="J745" t="str">
        <f>"4387637591"</f>
        <v>4387637591</v>
      </c>
      <c r="K745" t="s">
        <v>3015</v>
      </c>
      <c r="L745" t="s">
        <v>39</v>
      </c>
      <c r="M745" t="s">
        <v>21</v>
      </c>
    </row>
    <row r="746" spans="1:13" x14ac:dyDescent="0.35">
      <c r="A746" t="str">
        <f>"224-4674"</f>
        <v>224-4674</v>
      </c>
      <c r="B746" t="s">
        <v>3016</v>
      </c>
      <c r="C746" t="str">
        <f>"1783"</f>
        <v>1783</v>
      </c>
      <c r="E746" t="s">
        <v>3017</v>
      </c>
      <c r="F746" t="s">
        <v>143</v>
      </c>
      <c r="G746" t="s">
        <v>3018</v>
      </c>
      <c r="H746" t="s">
        <v>17</v>
      </c>
      <c r="I746" t="s">
        <v>18</v>
      </c>
      <c r="J746" t="str">
        <f>"5142537289"</f>
        <v>5142537289</v>
      </c>
      <c r="K746" t="s">
        <v>3019</v>
      </c>
      <c r="L746" t="s">
        <v>27</v>
      </c>
      <c r="M746" t="s">
        <v>21</v>
      </c>
    </row>
    <row r="747" spans="1:13" x14ac:dyDescent="0.35">
      <c r="A747" t="str">
        <f>"224-6539"</f>
        <v>224-6539</v>
      </c>
      <c r="B747" t="s">
        <v>3020</v>
      </c>
      <c r="C747" t="str">
        <f>"2160"</f>
        <v>2160</v>
      </c>
      <c r="E747" t="s">
        <v>1599</v>
      </c>
      <c r="F747" t="s">
        <v>24</v>
      </c>
      <c r="G747" t="s">
        <v>3021</v>
      </c>
      <c r="H747" t="s">
        <v>17</v>
      </c>
      <c r="I747" t="s">
        <v>18</v>
      </c>
      <c r="J747" t="str">
        <f>"4384093372"</f>
        <v>4384093372</v>
      </c>
      <c r="K747" t="s">
        <v>3022</v>
      </c>
      <c r="L747" t="s">
        <v>20</v>
      </c>
      <c r="M747" t="s">
        <v>21</v>
      </c>
    </row>
    <row r="748" spans="1:13" x14ac:dyDescent="0.35">
      <c r="A748" t="str">
        <f>"224-6828"</f>
        <v>224-6828</v>
      </c>
      <c r="B748" t="s">
        <v>3023</v>
      </c>
      <c r="C748" t="str">
        <f>"6334"</f>
        <v>6334</v>
      </c>
      <c r="D748" t="str">
        <f>"3"</f>
        <v>3</v>
      </c>
      <c r="E748" t="s">
        <v>2318</v>
      </c>
      <c r="F748" t="s">
        <v>24</v>
      </c>
      <c r="G748" t="s">
        <v>3024</v>
      </c>
      <c r="H748" t="s">
        <v>17</v>
      </c>
      <c r="I748" t="s">
        <v>18</v>
      </c>
      <c r="J748" t="str">
        <f>"4389900995"</f>
        <v>4389900995</v>
      </c>
      <c r="K748" t="s">
        <v>3025</v>
      </c>
      <c r="L748" t="s">
        <v>29</v>
      </c>
      <c r="M748" t="s">
        <v>21</v>
      </c>
    </row>
    <row r="749" spans="1:13" x14ac:dyDescent="0.35">
      <c r="A749" t="str">
        <f>"224-6865"</f>
        <v>224-6865</v>
      </c>
      <c r="B749" t="s">
        <v>3026</v>
      </c>
      <c r="C749" t="str">
        <f>"7066"</f>
        <v>7066</v>
      </c>
      <c r="E749" t="s">
        <v>3027</v>
      </c>
      <c r="F749" t="s">
        <v>24</v>
      </c>
      <c r="G749" t="s">
        <v>3028</v>
      </c>
      <c r="H749" t="s">
        <v>17</v>
      </c>
      <c r="I749" t="s">
        <v>18</v>
      </c>
      <c r="J749" t="str">
        <f>"5147466496"</f>
        <v>5147466496</v>
      </c>
      <c r="K749" t="s">
        <v>3029</v>
      </c>
      <c r="L749" t="s">
        <v>396</v>
      </c>
      <c r="M749" t="s">
        <v>21</v>
      </c>
    </row>
    <row r="750" spans="1:13" x14ac:dyDescent="0.35">
      <c r="A750" t="str">
        <f>"224-7741"</f>
        <v>224-7741</v>
      </c>
      <c r="B750" t="s">
        <v>3030</v>
      </c>
      <c r="C750" t="str">
        <f>"3430"</f>
        <v>3430</v>
      </c>
      <c r="D750" t="str">
        <f>"207"</f>
        <v>207</v>
      </c>
      <c r="E750" t="s">
        <v>343</v>
      </c>
      <c r="F750" t="s">
        <v>24</v>
      </c>
      <c r="G750" t="s">
        <v>3031</v>
      </c>
      <c r="H750" t="s">
        <v>17</v>
      </c>
      <c r="I750" t="s">
        <v>18</v>
      </c>
      <c r="J750" t="str">
        <f>"5148092709"</f>
        <v>5148092709</v>
      </c>
      <c r="K750" t="s">
        <v>3032</v>
      </c>
      <c r="L750" t="s">
        <v>220</v>
      </c>
      <c r="M750" t="s">
        <v>21</v>
      </c>
    </row>
    <row r="751" spans="1:13" x14ac:dyDescent="0.35">
      <c r="A751" t="str">
        <f>"224-7710"</f>
        <v>224-7710</v>
      </c>
      <c r="B751" t="s">
        <v>3033</v>
      </c>
      <c r="C751" t="str">
        <f>"10575"</f>
        <v>10575</v>
      </c>
      <c r="D751" t="str">
        <f>"1"</f>
        <v>1</v>
      </c>
      <c r="E751" t="s">
        <v>3034</v>
      </c>
      <c r="F751" t="s">
        <v>24</v>
      </c>
      <c r="G751" t="s">
        <v>3035</v>
      </c>
      <c r="H751" t="s">
        <v>17</v>
      </c>
      <c r="I751" t="s">
        <v>18</v>
      </c>
      <c r="J751" t="str">
        <f>"5145272824"</f>
        <v>5145272824</v>
      </c>
      <c r="K751" t="s">
        <v>3036</v>
      </c>
      <c r="L751" t="s">
        <v>20</v>
      </c>
      <c r="M751" t="s">
        <v>21</v>
      </c>
    </row>
    <row r="752" spans="1:13" x14ac:dyDescent="0.35">
      <c r="A752" t="str">
        <f>"224-8001"</f>
        <v>224-8001</v>
      </c>
      <c r="B752" t="s">
        <v>3037</v>
      </c>
      <c r="C752" t="str">
        <f>"6882"</f>
        <v>6882</v>
      </c>
      <c r="D752" t="str">
        <f>"6882"</f>
        <v>6882</v>
      </c>
      <c r="E752" t="s">
        <v>3038</v>
      </c>
      <c r="F752" t="s">
        <v>24</v>
      </c>
      <c r="G752" t="s">
        <v>3039</v>
      </c>
      <c r="H752" t="s">
        <v>17</v>
      </c>
      <c r="I752" t="s">
        <v>18</v>
      </c>
      <c r="J752" t="str">
        <f>"4386224765"</f>
        <v>4386224765</v>
      </c>
      <c r="K752" t="s">
        <v>3040</v>
      </c>
      <c r="L752" t="s">
        <v>869</v>
      </c>
      <c r="M752" t="s">
        <v>21</v>
      </c>
    </row>
    <row r="753" spans="1:13" x14ac:dyDescent="0.35">
      <c r="A753" t="str">
        <f>"224-8087"</f>
        <v>224-8087</v>
      </c>
      <c r="B753" t="s">
        <v>3041</v>
      </c>
      <c r="C753" t="str">
        <f>"20"</f>
        <v>20</v>
      </c>
      <c r="E753" t="s">
        <v>3042</v>
      </c>
      <c r="F753" t="s">
        <v>2500</v>
      </c>
      <c r="G753" t="s">
        <v>3043</v>
      </c>
      <c r="H753" t="s">
        <v>17</v>
      </c>
      <c r="I753" t="s">
        <v>18</v>
      </c>
      <c r="J753" t="str">
        <f>"5149428966"</f>
        <v>5149428966</v>
      </c>
      <c r="K753" t="s">
        <v>3044</v>
      </c>
      <c r="L753" t="s">
        <v>39</v>
      </c>
      <c r="M753" t="s">
        <v>21</v>
      </c>
    </row>
    <row r="754" spans="1:13" x14ac:dyDescent="0.35">
      <c r="A754" t="str">
        <f>"224-9080"</f>
        <v>224-9080</v>
      </c>
      <c r="B754" t="s">
        <v>3045</v>
      </c>
      <c r="C754" t="str">
        <f>"7468"</f>
        <v>7468</v>
      </c>
      <c r="E754" t="s">
        <v>3046</v>
      </c>
      <c r="F754" t="s">
        <v>24</v>
      </c>
      <c r="G754" t="s">
        <v>3047</v>
      </c>
      <c r="H754" t="s">
        <v>17</v>
      </c>
      <c r="I754" t="s">
        <v>18</v>
      </c>
      <c r="J754" t="str">
        <f>"4389884737"</f>
        <v>4389884737</v>
      </c>
      <c r="K754" t="s">
        <v>3048</v>
      </c>
      <c r="L754" t="s">
        <v>396</v>
      </c>
      <c r="M754" t="s">
        <v>21</v>
      </c>
    </row>
    <row r="755" spans="1:13" x14ac:dyDescent="0.35">
      <c r="A755" t="str">
        <f>"224-9197"</f>
        <v>224-9197</v>
      </c>
      <c r="B755" t="s">
        <v>3049</v>
      </c>
      <c r="C755" t="str">
        <f>"273"</f>
        <v>273</v>
      </c>
      <c r="E755" t="s">
        <v>3050</v>
      </c>
      <c r="F755" t="s">
        <v>32</v>
      </c>
      <c r="G755" t="s">
        <v>3051</v>
      </c>
      <c r="H755" t="s">
        <v>17</v>
      </c>
      <c r="I755" t="s">
        <v>18</v>
      </c>
      <c r="J755" t="str">
        <f>"4383794712"</f>
        <v>4383794712</v>
      </c>
      <c r="K755" t="s">
        <v>3052</v>
      </c>
      <c r="L755" t="s">
        <v>350</v>
      </c>
      <c r="M755" t="s">
        <v>21</v>
      </c>
    </row>
    <row r="756" spans="1:13" x14ac:dyDescent="0.35">
      <c r="A756" t="str">
        <f>"225-0429"</f>
        <v>225-0429</v>
      </c>
      <c r="B756" t="s">
        <v>3055</v>
      </c>
      <c r="C756" t="str">
        <f>"3843"</f>
        <v>3843</v>
      </c>
      <c r="D756" t="str">
        <f>"4"</f>
        <v>4</v>
      </c>
      <c r="E756" t="s">
        <v>3056</v>
      </c>
      <c r="F756" t="s">
        <v>24</v>
      </c>
      <c r="G756" t="s">
        <v>3057</v>
      </c>
      <c r="H756" t="s">
        <v>17</v>
      </c>
      <c r="I756" t="s">
        <v>18</v>
      </c>
      <c r="J756" t="str">
        <f>"5144520268"</f>
        <v>5144520268</v>
      </c>
      <c r="K756" t="s">
        <v>3058</v>
      </c>
      <c r="L756" t="s">
        <v>203</v>
      </c>
      <c r="M756" t="s">
        <v>21</v>
      </c>
    </row>
    <row r="757" spans="1:13" x14ac:dyDescent="0.35">
      <c r="A757" t="str">
        <f>"225-1113"</f>
        <v>225-1113</v>
      </c>
      <c r="B757" t="s">
        <v>3059</v>
      </c>
      <c r="C757" t="str">
        <f>"4210"</f>
        <v>4210</v>
      </c>
      <c r="E757" t="s">
        <v>3060</v>
      </c>
      <c r="F757" t="s">
        <v>3061</v>
      </c>
      <c r="G757" t="s">
        <v>3062</v>
      </c>
      <c r="H757" t="s">
        <v>17</v>
      </c>
      <c r="I757" t="s">
        <v>18</v>
      </c>
      <c r="J757" t="str">
        <f>"8196998935"</f>
        <v>8196998935</v>
      </c>
      <c r="K757" t="s">
        <v>3063</v>
      </c>
      <c r="L757" t="s">
        <v>20</v>
      </c>
      <c r="M757" t="s">
        <v>21</v>
      </c>
    </row>
    <row r="758" spans="1:13" x14ac:dyDescent="0.35">
      <c r="A758" t="str">
        <f>"225-1228"</f>
        <v>225-1228</v>
      </c>
      <c r="B758" t="s">
        <v>3064</v>
      </c>
      <c r="C758" t="str">
        <f>"5440"</f>
        <v>5440</v>
      </c>
      <c r="D758" t="str">
        <f>"3"</f>
        <v>3</v>
      </c>
      <c r="E758" t="s">
        <v>1880</v>
      </c>
      <c r="F758" t="s">
        <v>24</v>
      </c>
      <c r="G758" t="s">
        <v>3065</v>
      </c>
      <c r="H758" t="s">
        <v>17</v>
      </c>
      <c r="I758" t="s">
        <v>18</v>
      </c>
      <c r="J758" t="str">
        <f>"5142950705"</f>
        <v>5142950705</v>
      </c>
      <c r="K758" t="s">
        <v>3066</v>
      </c>
      <c r="L758" t="s">
        <v>27</v>
      </c>
      <c r="M758" t="s">
        <v>21</v>
      </c>
    </row>
    <row r="759" spans="1:13" x14ac:dyDescent="0.35">
      <c r="A759" t="str">
        <f>"225-5063"</f>
        <v>225-5063</v>
      </c>
      <c r="B759" t="s">
        <v>3067</v>
      </c>
      <c r="C759" t="str">
        <f>"660"</f>
        <v>660</v>
      </c>
      <c r="E759" t="s">
        <v>3068</v>
      </c>
      <c r="F759" t="s">
        <v>682</v>
      </c>
      <c r="G759" t="s">
        <v>3069</v>
      </c>
      <c r="H759" t="s">
        <v>17</v>
      </c>
      <c r="I759" t="s">
        <v>18</v>
      </c>
      <c r="J759" t="str">
        <f>"4383675401"</f>
        <v>4383675401</v>
      </c>
      <c r="K759" t="s">
        <v>3070</v>
      </c>
      <c r="L759" t="s">
        <v>168</v>
      </c>
      <c r="M759" t="s">
        <v>21</v>
      </c>
    </row>
    <row r="760" spans="1:13" x14ac:dyDescent="0.35">
      <c r="A760" t="str">
        <f>"225-6642"</f>
        <v>225-6642</v>
      </c>
      <c r="B760" t="s">
        <v>3071</v>
      </c>
      <c r="C760" t="str">
        <f>"673"</f>
        <v>673</v>
      </c>
      <c r="E760" t="s">
        <v>3072</v>
      </c>
      <c r="F760" t="s">
        <v>32</v>
      </c>
      <c r="G760" t="s">
        <v>3073</v>
      </c>
      <c r="H760" t="s">
        <v>17</v>
      </c>
      <c r="I760" t="s">
        <v>18</v>
      </c>
      <c r="J760" t="str">
        <f>"4383458594"</f>
        <v>4383458594</v>
      </c>
      <c r="K760" t="s">
        <v>3074</v>
      </c>
      <c r="L760" t="s">
        <v>76</v>
      </c>
      <c r="M760" t="s">
        <v>21</v>
      </c>
    </row>
    <row r="761" spans="1:13" x14ac:dyDescent="0.35">
      <c r="A761" t="str">
        <f>"225-6711"</f>
        <v>225-6711</v>
      </c>
      <c r="B761" t="s">
        <v>3075</v>
      </c>
      <c r="C761" t="str">
        <f>"8400"</f>
        <v>8400</v>
      </c>
      <c r="E761" t="s">
        <v>1791</v>
      </c>
      <c r="F761" t="s">
        <v>24</v>
      </c>
      <c r="G761" t="s">
        <v>1792</v>
      </c>
      <c r="H761" t="s">
        <v>17</v>
      </c>
      <c r="I761" t="s">
        <v>18</v>
      </c>
      <c r="J761" t="str">
        <f>"5146670894"</f>
        <v>5146670894</v>
      </c>
      <c r="K761" t="s">
        <v>3076</v>
      </c>
      <c r="L761" t="s">
        <v>137</v>
      </c>
      <c r="M761" t="s">
        <v>21</v>
      </c>
    </row>
    <row r="762" spans="1:13" x14ac:dyDescent="0.35">
      <c r="A762" t="str">
        <f>"225-7161"</f>
        <v>225-7161</v>
      </c>
      <c r="B762" t="s">
        <v>3077</v>
      </c>
      <c r="C762" t="str">
        <f>"1635"</f>
        <v>1635</v>
      </c>
      <c r="E762" t="s">
        <v>1832</v>
      </c>
      <c r="F762" t="s">
        <v>24</v>
      </c>
      <c r="G762" t="s">
        <v>3078</v>
      </c>
      <c r="H762" t="s">
        <v>17</v>
      </c>
      <c r="I762" t="s">
        <v>18</v>
      </c>
      <c r="J762" t="str">
        <f>"5147046825"</f>
        <v>5147046825</v>
      </c>
      <c r="K762" t="s">
        <v>3079</v>
      </c>
      <c r="L762" t="s">
        <v>198</v>
      </c>
      <c r="M762" t="s">
        <v>21</v>
      </c>
    </row>
    <row r="763" spans="1:13" x14ac:dyDescent="0.35">
      <c r="A763" t="str">
        <f>"225-7397"</f>
        <v>225-7397</v>
      </c>
      <c r="B763" t="s">
        <v>3080</v>
      </c>
      <c r="C763" t="str">
        <f>"11280"</f>
        <v>11280</v>
      </c>
      <c r="E763" t="s">
        <v>2870</v>
      </c>
      <c r="F763" t="s">
        <v>24</v>
      </c>
      <c r="G763" t="s">
        <v>3081</v>
      </c>
      <c r="H763" t="s">
        <v>17</v>
      </c>
      <c r="I763" t="s">
        <v>18</v>
      </c>
      <c r="J763" t="str">
        <f>"4383973051"</f>
        <v>4383973051</v>
      </c>
      <c r="K763" t="s">
        <v>3082</v>
      </c>
      <c r="L763" t="s">
        <v>350</v>
      </c>
      <c r="M763" t="s">
        <v>21</v>
      </c>
    </row>
    <row r="764" spans="1:13" x14ac:dyDescent="0.35">
      <c r="A764" t="str">
        <f>"225-7882"</f>
        <v>225-7882</v>
      </c>
      <c r="B764" t="s">
        <v>3083</v>
      </c>
      <c r="C764" t="str">
        <f>"7319"</f>
        <v>7319</v>
      </c>
      <c r="D764" t="str">
        <f>"05"</f>
        <v>05</v>
      </c>
      <c r="E764" t="s">
        <v>3084</v>
      </c>
      <c r="F764" t="s">
        <v>24</v>
      </c>
      <c r="G764" t="s">
        <v>3085</v>
      </c>
      <c r="H764" t="s">
        <v>17</v>
      </c>
      <c r="I764" t="s">
        <v>18</v>
      </c>
      <c r="J764" t="str">
        <f>"4383083526"</f>
        <v>4383083526</v>
      </c>
      <c r="K764" t="s">
        <v>3086</v>
      </c>
      <c r="L764" t="s">
        <v>27</v>
      </c>
      <c r="M764" t="s">
        <v>21</v>
      </c>
    </row>
    <row r="765" spans="1:13" x14ac:dyDescent="0.35">
      <c r="A765" t="str">
        <f>"225-8359"</f>
        <v>225-8359</v>
      </c>
      <c r="B765" t="s">
        <v>3087</v>
      </c>
      <c r="C765" t="str">
        <f>"3469"</f>
        <v>3469</v>
      </c>
      <c r="D765" t="str">
        <f>"126"</f>
        <v>126</v>
      </c>
      <c r="E765" t="s">
        <v>455</v>
      </c>
      <c r="F765" t="s">
        <v>24</v>
      </c>
      <c r="G765" t="s">
        <v>1097</v>
      </c>
      <c r="H765" t="s">
        <v>17</v>
      </c>
      <c r="I765" t="s">
        <v>18</v>
      </c>
      <c r="J765" t="str">
        <f>"4384542033"</f>
        <v>4384542033</v>
      </c>
      <c r="K765" t="s">
        <v>3088</v>
      </c>
      <c r="L765" t="s">
        <v>137</v>
      </c>
      <c r="M765" t="s">
        <v>21</v>
      </c>
    </row>
    <row r="766" spans="1:13" x14ac:dyDescent="0.35">
      <c r="A766" t="str">
        <f>"226-0293"</f>
        <v>226-0293</v>
      </c>
      <c r="B766" t="s">
        <v>3089</v>
      </c>
      <c r="C766" t="str">
        <f>"8733"</f>
        <v>8733</v>
      </c>
      <c r="E766" t="s">
        <v>3090</v>
      </c>
      <c r="F766" t="s">
        <v>24</v>
      </c>
      <c r="G766" t="s">
        <v>3091</v>
      </c>
      <c r="H766" t="s">
        <v>17</v>
      </c>
      <c r="I766" t="s">
        <v>18</v>
      </c>
      <c r="J766" t="str">
        <f>"4387286846"</f>
        <v>4387286846</v>
      </c>
      <c r="K766" t="s">
        <v>3092</v>
      </c>
      <c r="L766" t="s">
        <v>39</v>
      </c>
      <c r="M766" t="s">
        <v>21</v>
      </c>
    </row>
    <row r="767" spans="1:13" x14ac:dyDescent="0.35">
      <c r="A767" t="str">
        <f>"226-0527"</f>
        <v>226-0527</v>
      </c>
      <c r="B767" t="s">
        <v>3093</v>
      </c>
      <c r="C767" t="str">
        <f>"60"</f>
        <v>60</v>
      </c>
      <c r="E767" t="s">
        <v>3094</v>
      </c>
      <c r="F767" t="s">
        <v>2031</v>
      </c>
      <c r="G767" t="s">
        <v>3095</v>
      </c>
      <c r="H767" t="s">
        <v>17</v>
      </c>
      <c r="I767" t="s">
        <v>18</v>
      </c>
      <c r="J767" t="str">
        <f>"4502187313"</f>
        <v>4502187313</v>
      </c>
      <c r="K767" t="s">
        <v>3096</v>
      </c>
      <c r="L767" t="s">
        <v>313</v>
      </c>
      <c r="M767" t="s">
        <v>21</v>
      </c>
    </row>
    <row r="768" spans="1:13" x14ac:dyDescent="0.35">
      <c r="A768" t="str">
        <f>"226-1089"</f>
        <v>226-1089</v>
      </c>
      <c r="B768" t="s">
        <v>3097</v>
      </c>
      <c r="C768" t="str">
        <f>"615"</f>
        <v>615</v>
      </c>
      <c r="E768" t="s">
        <v>3098</v>
      </c>
      <c r="F768" t="s">
        <v>3099</v>
      </c>
      <c r="G768" t="s">
        <v>3100</v>
      </c>
      <c r="H768" t="s">
        <v>17</v>
      </c>
      <c r="I768" t="s">
        <v>18</v>
      </c>
      <c r="J768" t="str">
        <f>"8198332805"</f>
        <v>8198332805</v>
      </c>
      <c r="K768" t="s">
        <v>3101</v>
      </c>
      <c r="L768" t="s">
        <v>20</v>
      </c>
      <c r="M768" t="s">
        <v>21</v>
      </c>
    </row>
    <row r="769" spans="1:13" x14ac:dyDescent="0.35">
      <c r="A769" t="str">
        <f>"226-1194"</f>
        <v>226-1194</v>
      </c>
      <c r="B769" t="s">
        <v>3102</v>
      </c>
      <c r="C769" t="str">
        <f>"16045"</f>
        <v>16045</v>
      </c>
      <c r="D769" t="str">
        <f>"201"</f>
        <v>201</v>
      </c>
      <c r="E769" t="s">
        <v>1067</v>
      </c>
      <c r="F769" t="s">
        <v>24</v>
      </c>
      <c r="G769" t="s">
        <v>1068</v>
      </c>
      <c r="H769" t="s">
        <v>17</v>
      </c>
      <c r="I769" t="s">
        <v>18</v>
      </c>
      <c r="J769" t="str">
        <f>"4383664766"</f>
        <v>4383664766</v>
      </c>
      <c r="K769" t="s">
        <v>3103</v>
      </c>
      <c r="L769" t="s">
        <v>27</v>
      </c>
      <c r="M769" t="s">
        <v>21</v>
      </c>
    </row>
    <row r="770" spans="1:13" x14ac:dyDescent="0.35">
      <c r="A770" t="str">
        <f>"226-1315"</f>
        <v>226-1315</v>
      </c>
      <c r="B770" t="s">
        <v>3104</v>
      </c>
      <c r="C770" t="str">
        <f>"313"</f>
        <v>313</v>
      </c>
      <c r="E770" t="s">
        <v>2888</v>
      </c>
      <c r="F770" t="s">
        <v>143</v>
      </c>
      <c r="G770" t="s">
        <v>3105</v>
      </c>
      <c r="H770" t="s">
        <v>17</v>
      </c>
      <c r="I770" t="s">
        <v>18</v>
      </c>
      <c r="J770" t="str">
        <f>"4385073231"</f>
        <v>4385073231</v>
      </c>
      <c r="K770" t="s">
        <v>3106</v>
      </c>
      <c r="L770" t="s">
        <v>132</v>
      </c>
      <c r="M770" t="s">
        <v>21</v>
      </c>
    </row>
    <row r="771" spans="1:13" x14ac:dyDescent="0.35">
      <c r="A771" t="str">
        <f>"226-1307"</f>
        <v>226-1307</v>
      </c>
      <c r="B771" t="s">
        <v>3107</v>
      </c>
      <c r="C771" t="str">
        <f>"4315"</f>
        <v>4315</v>
      </c>
      <c r="D771" t="str">
        <f>"403"</f>
        <v>403</v>
      </c>
      <c r="E771" t="s">
        <v>3108</v>
      </c>
      <c r="F771" t="s">
        <v>24</v>
      </c>
      <c r="G771" t="s">
        <v>3109</v>
      </c>
      <c r="H771" t="s">
        <v>17</v>
      </c>
      <c r="I771" t="s">
        <v>18</v>
      </c>
      <c r="J771" t="str">
        <f>"5145467804"</f>
        <v>5145467804</v>
      </c>
      <c r="K771" t="s">
        <v>3110</v>
      </c>
      <c r="L771" t="s">
        <v>203</v>
      </c>
      <c r="M771" t="s">
        <v>21</v>
      </c>
    </row>
    <row r="772" spans="1:13" x14ac:dyDescent="0.35">
      <c r="A772" t="str">
        <f>"226-1336"</f>
        <v>226-1336</v>
      </c>
      <c r="B772" t="s">
        <v>3111</v>
      </c>
      <c r="C772" t="str">
        <f>"620"</f>
        <v>620</v>
      </c>
      <c r="E772" t="s">
        <v>3112</v>
      </c>
      <c r="F772" t="s">
        <v>143</v>
      </c>
      <c r="G772" t="s">
        <v>3113</v>
      </c>
      <c r="H772" t="s">
        <v>17</v>
      </c>
      <c r="I772" t="s">
        <v>18</v>
      </c>
      <c r="J772" t="str">
        <f>"5149713950"</f>
        <v>5149713950</v>
      </c>
      <c r="K772" t="s">
        <v>3114</v>
      </c>
      <c r="L772" t="s">
        <v>29</v>
      </c>
      <c r="M772" t="s">
        <v>21</v>
      </c>
    </row>
    <row r="773" spans="1:13" x14ac:dyDescent="0.35">
      <c r="A773" t="str">
        <f>"226-1573"</f>
        <v>226-1573</v>
      </c>
      <c r="B773" t="s">
        <v>3115</v>
      </c>
      <c r="C773" t="str">
        <f>"6087"</f>
        <v>6087</v>
      </c>
      <c r="E773" t="s">
        <v>3053</v>
      </c>
      <c r="F773" t="s">
        <v>24</v>
      </c>
      <c r="G773" t="s">
        <v>3116</v>
      </c>
      <c r="H773" t="s">
        <v>17</v>
      </c>
      <c r="I773" t="s">
        <v>18</v>
      </c>
      <c r="J773" t="str">
        <f>"4389372795"</f>
        <v>4389372795</v>
      </c>
      <c r="K773" t="s">
        <v>3117</v>
      </c>
      <c r="L773" t="s">
        <v>20</v>
      </c>
      <c r="M773" t="s">
        <v>21</v>
      </c>
    </row>
    <row r="774" spans="1:13" x14ac:dyDescent="0.35">
      <c r="A774" t="str">
        <f>"226-5134"</f>
        <v>226-5134</v>
      </c>
      <c r="B774" t="s">
        <v>3118</v>
      </c>
      <c r="C774" t="str">
        <f>"961"</f>
        <v>961</v>
      </c>
      <c r="E774" t="s">
        <v>2535</v>
      </c>
      <c r="F774" t="s">
        <v>2212</v>
      </c>
      <c r="G774" t="s">
        <v>3119</v>
      </c>
      <c r="H774" t="s">
        <v>17</v>
      </c>
      <c r="I774" t="s">
        <v>18</v>
      </c>
      <c r="J774" t="str">
        <f>"5145532638"</f>
        <v>5145532638</v>
      </c>
      <c r="K774" t="s">
        <v>3120</v>
      </c>
      <c r="L774" t="s">
        <v>20</v>
      </c>
      <c r="M774" t="s">
        <v>21</v>
      </c>
    </row>
    <row r="775" spans="1:13" x14ac:dyDescent="0.35">
      <c r="A775" t="str">
        <f>"226-5642"</f>
        <v>226-5642</v>
      </c>
      <c r="B775" t="s">
        <v>3121</v>
      </c>
      <c r="C775" t="str">
        <f>"1285"</f>
        <v>1285</v>
      </c>
      <c r="E775" t="s">
        <v>3122</v>
      </c>
      <c r="F775" t="s">
        <v>1763</v>
      </c>
      <c r="G775" t="s">
        <v>3123</v>
      </c>
      <c r="H775" t="s">
        <v>17</v>
      </c>
      <c r="I775" t="s">
        <v>18</v>
      </c>
      <c r="J775" t="str">
        <f>"4189287183"</f>
        <v>4189287183</v>
      </c>
      <c r="K775" t="s">
        <v>3124</v>
      </c>
      <c r="L775" t="s">
        <v>20</v>
      </c>
      <c r="M775" t="s">
        <v>21</v>
      </c>
    </row>
    <row r="776" spans="1:13" x14ac:dyDescent="0.35">
      <c r="A776" t="str">
        <f>"226-5778"</f>
        <v>226-5778</v>
      </c>
      <c r="B776" t="s">
        <v>3125</v>
      </c>
      <c r="C776" t="str">
        <f>"4885"</f>
        <v>4885</v>
      </c>
      <c r="E776" t="s">
        <v>3126</v>
      </c>
      <c r="F776" t="s">
        <v>24</v>
      </c>
      <c r="G776" t="s">
        <v>3127</v>
      </c>
      <c r="H776" t="s">
        <v>17</v>
      </c>
      <c r="I776" t="s">
        <v>18</v>
      </c>
      <c r="J776" t="str">
        <f>"4385018200"</f>
        <v>4385018200</v>
      </c>
      <c r="K776" t="s">
        <v>3128</v>
      </c>
      <c r="L776" t="s">
        <v>27</v>
      </c>
      <c r="M776" t="s">
        <v>21</v>
      </c>
    </row>
    <row r="777" spans="1:13" x14ac:dyDescent="0.35">
      <c r="A777" t="str">
        <f>"226-6056"</f>
        <v>226-6056</v>
      </c>
      <c r="B777" t="s">
        <v>3129</v>
      </c>
      <c r="C777" t="str">
        <f>"5383"</f>
        <v>5383</v>
      </c>
      <c r="E777" t="s">
        <v>3130</v>
      </c>
      <c r="F777" t="s">
        <v>24</v>
      </c>
      <c r="G777" t="s">
        <v>3131</v>
      </c>
      <c r="H777" t="s">
        <v>17</v>
      </c>
      <c r="I777" t="s">
        <v>18</v>
      </c>
      <c r="J777" t="str">
        <f>"5142378558"</f>
        <v>5142378558</v>
      </c>
      <c r="K777" t="s">
        <v>3132</v>
      </c>
      <c r="L777" t="s">
        <v>203</v>
      </c>
      <c r="M777" t="s">
        <v>21</v>
      </c>
    </row>
    <row r="778" spans="1:13" x14ac:dyDescent="0.35">
      <c r="A778" t="str">
        <f>"226-6157"</f>
        <v>226-6157</v>
      </c>
      <c r="B778" t="s">
        <v>3133</v>
      </c>
      <c r="C778" t="str">
        <f>"5455"</f>
        <v>5455</v>
      </c>
      <c r="E778" t="s">
        <v>3134</v>
      </c>
      <c r="F778" t="s">
        <v>3135</v>
      </c>
      <c r="G778" t="s">
        <v>3136</v>
      </c>
      <c r="H778" t="s">
        <v>17</v>
      </c>
      <c r="I778" t="s">
        <v>18</v>
      </c>
      <c r="J778" t="str">
        <f>"5148030542"</f>
        <v>5148030542</v>
      </c>
      <c r="K778" t="s">
        <v>3137</v>
      </c>
      <c r="L778" t="s">
        <v>313</v>
      </c>
      <c r="M778" t="s">
        <v>21</v>
      </c>
    </row>
    <row r="779" spans="1:13" x14ac:dyDescent="0.35">
      <c r="A779" t="str">
        <f>"226-6213"</f>
        <v>226-6213</v>
      </c>
      <c r="B779" t="s">
        <v>3138</v>
      </c>
      <c r="C779" t="str">
        <f>"946"</f>
        <v>946</v>
      </c>
      <c r="E779" t="s">
        <v>3139</v>
      </c>
      <c r="F779" t="s">
        <v>54</v>
      </c>
      <c r="G779" t="s">
        <v>3140</v>
      </c>
      <c r="H779" t="s">
        <v>17</v>
      </c>
      <c r="I779" t="s">
        <v>18</v>
      </c>
      <c r="J779" t="str">
        <f>"4387631238"</f>
        <v>4387631238</v>
      </c>
      <c r="K779" t="s">
        <v>3141</v>
      </c>
      <c r="L779" t="s">
        <v>284</v>
      </c>
      <c r="M779" t="s">
        <v>21</v>
      </c>
    </row>
    <row r="780" spans="1:13" x14ac:dyDescent="0.35">
      <c r="A780" t="str">
        <f>"226-6408"</f>
        <v>226-6408</v>
      </c>
      <c r="B780" t="s">
        <v>3142</v>
      </c>
      <c r="C780" t="str">
        <f>"6882"</f>
        <v>6882</v>
      </c>
      <c r="E780" t="s">
        <v>2516</v>
      </c>
      <c r="F780" t="s">
        <v>24</v>
      </c>
      <c r="G780" t="s">
        <v>2517</v>
      </c>
      <c r="H780" t="s">
        <v>17</v>
      </c>
      <c r="I780" t="s">
        <v>18</v>
      </c>
      <c r="J780" t="str">
        <f>"4388728096"</f>
        <v>4388728096</v>
      </c>
      <c r="K780" t="s">
        <v>3143</v>
      </c>
      <c r="L780" t="s">
        <v>76</v>
      </c>
      <c r="M780" t="s">
        <v>21</v>
      </c>
    </row>
    <row r="781" spans="1:13" x14ac:dyDescent="0.35">
      <c r="A781" t="str">
        <f>"226-6444"</f>
        <v>226-6444</v>
      </c>
      <c r="B781" t="s">
        <v>3144</v>
      </c>
      <c r="C781" t="str">
        <f>"8570"</f>
        <v>8570</v>
      </c>
      <c r="D781" t="str">
        <f>"205"</f>
        <v>205</v>
      </c>
      <c r="E781" t="s">
        <v>1362</v>
      </c>
      <c r="F781" t="s">
        <v>24</v>
      </c>
      <c r="G781" t="s">
        <v>3145</v>
      </c>
      <c r="H781" t="s">
        <v>17</v>
      </c>
      <c r="I781" t="s">
        <v>18</v>
      </c>
      <c r="J781" t="str">
        <f>"4383569890"</f>
        <v>4383569890</v>
      </c>
      <c r="K781" t="s">
        <v>3146</v>
      </c>
      <c r="L781" t="s">
        <v>383</v>
      </c>
      <c r="M781" t="s">
        <v>21</v>
      </c>
    </row>
    <row r="782" spans="1:13" x14ac:dyDescent="0.35">
      <c r="A782" t="str">
        <f>"226-6475"</f>
        <v>226-6475</v>
      </c>
      <c r="B782" t="s">
        <v>3147</v>
      </c>
      <c r="C782" t="str">
        <f>"519"</f>
        <v>519</v>
      </c>
      <c r="E782" t="s">
        <v>3148</v>
      </c>
      <c r="F782" t="s">
        <v>32</v>
      </c>
      <c r="G782" t="s">
        <v>3149</v>
      </c>
      <c r="H782" t="s">
        <v>17</v>
      </c>
      <c r="I782" t="s">
        <v>18</v>
      </c>
      <c r="J782" t="str">
        <f>"5144492784"</f>
        <v>5144492784</v>
      </c>
      <c r="K782" t="s">
        <v>3150</v>
      </c>
      <c r="L782" t="s">
        <v>203</v>
      </c>
      <c r="M782" t="s">
        <v>21</v>
      </c>
    </row>
    <row r="783" spans="1:13" x14ac:dyDescent="0.35">
      <c r="A783" t="str">
        <f>"226-7413"</f>
        <v>226-7413</v>
      </c>
      <c r="B783" t="s">
        <v>3151</v>
      </c>
      <c r="C783" t="str">
        <f>"5601"</f>
        <v>5601</v>
      </c>
      <c r="D783" t="str">
        <f>"4"</f>
        <v>4</v>
      </c>
      <c r="E783" t="s">
        <v>3152</v>
      </c>
      <c r="F783" t="s">
        <v>24</v>
      </c>
      <c r="G783" t="s">
        <v>3153</v>
      </c>
      <c r="H783" t="s">
        <v>17</v>
      </c>
      <c r="I783" t="s">
        <v>18</v>
      </c>
      <c r="J783" t="str">
        <f>"4387250879"</f>
        <v>4387250879</v>
      </c>
      <c r="K783" t="s">
        <v>3154</v>
      </c>
      <c r="L783" t="s">
        <v>76</v>
      </c>
      <c r="M783" t="s">
        <v>21</v>
      </c>
    </row>
    <row r="784" spans="1:13" x14ac:dyDescent="0.35">
      <c r="A784" t="str">
        <f>"226-7486"</f>
        <v>226-7486</v>
      </c>
      <c r="B784" t="s">
        <v>3155</v>
      </c>
      <c r="C784" t="str">
        <f>"9"</f>
        <v>9</v>
      </c>
      <c r="E784" t="s">
        <v>3156</v>
      </c>
      <c r="F784" t="s">
        <v>1022</v>
      </c>
      <c r="G784" t="s">
        <v>3157</v>
      </c>
      <c r="H784" t="s">
        <v>17</v>
      </c>
      <c r="I784" t="s">
        <v>18</v>
      </c>
      <c r="J784" t="str">
        <f>"4385036256"</f>
        <v>4385036256</v>
      </c>
      <c r="K784" t="s">
        <v>3158</v>
      </c>
      <c r="L784" t="s">
        <v>29</v>
      </c>
      <c r="M784" t="s">
        <v>21</v>
      </c>
    </row>
    <row r="785" spans="1:13" x14ac:dyDescent="0.35">
      <c r="A785" t="str">
        <f>"226-7593"</f>
        <v>226-7593</v>
      </c>
      <c r="B785" t="s">
        <v>3159</v>
      </c>
      <c r="C785" t="str">
        <f>"10523"</f>
        <v>10523</v>
      </c>
      <c r="E785" t="s">
        <v>3160</v>
      </c>
      <c r="F785" t="s">
        <v>24</v>
      </c>
      <c r="G785" t="s">
        <v>3161</v>
      </c>
      <c r="H785" t="s">
        <v>17</v>
      </c>
      <c r="I785" t="s">
        <v>18</v>
      </c>
      <c r="J785" t="str">
        <f>"4384965977"</f>
        <v>4384965977</v>
      </c>
      <c r="K785" t="s">
        <v>3162</v>
      </c>
      <c r="L785" t="s">
        <v>76</v>
      </c>
      <c r="M785" t="s">
        <v>21</v>
      </c>
    </row>
    <row r="786" spans="1:13" x14ac:dyDescent="0.35">
      <c r="A786" t="str">
        <f>"226-7877"</f>
        <v>226-7877</v>
      </c>
      <c r="B786" t="s">
        <v>3163</v>
      </c>
      <c r="C786" t="str">
        <f>"5856A"</f>
        <v>5856A</v>
      </c>
      <c r="E786" t="s">
        <v>1235</v>
      </c>
      <c r="F786" t="s">
        <v>24</v>
      </c>
      <c r="G786" t="s">
        <v>3164</v>
      </c>
      <c r="H786" t="s">
        <v>17</v>
      </c>
      <c r="I786" t="s">
        <v>18</v>
      </c>
      <c r="J786" t="str">
        <f>"5812342564"</f>
        <v>5812342564</v>
      </c>
      <c r="K786" t="s">
        <v>3165</v>
      </c>
      <c r="L786" t="s">
        <v>20</v>
      </c>
      <c r="M786" t="s">
        <v>21</v>
      </c>
    </row>
    <row r="787" spans="1:13" x14ac:dyDescent="0.35">
      <c r="A787" t="str">
        <f>"226-8139"</f>
        <v>226-8139</v>
      </c>
      <c r="B787" t="s">
        <v>3166</v>
      </c>
      <c r="C787" t="str">
        <f>"3010"</f>
        <v>3010</v>
      </c>
      <c r="E787" t="s">
        <v>3167</v>
      </c>
      <c r="F787" t="s">
        <v>143</v>
      </c>
      <c r="G787" t="s">
        <v>3168</v>
      </c>
      <c r="H787" t="s">
        <v>17</v>
      </c>
      <c r="I787" t="s">
        <v>18</v>
      </c>
      <c r="J787" t="str">
        <f>"5149299279"</f>
        <v>5149299279</v>
      </c>
      <c r="K787" t="s">
        <v>3169</v>
      </c>
      <c r="L787" t="s">
        <v>137</v>
      </c>
      <c r="M787" t="s">
        <v>21</v>
      </c>
    </row>
    <row r="788" spans="1:13" x14ac:dyDescent="0.35">
      <c r="A788" t="str">
        <f>"226-8964"</f>
        <v>226-8964</v>
      </c>
      <c r="B788" t="s">
        <v>3170</v>
      </c>
      <c r="C788" t="str">
        <f>"8115"</f>
        <v>8115</v>
      </c>
      <c r="E788" t="s">
        <v>679</v>
      </c>
      <c r="F788" t="s">
        <v>24</v>
      </c>
      <c r="G788" t="s">
        <v>3171</v>
      </c>
      <c r="H788" t="s">
        <v>17</v>
      </c>
      <c r="I788" t="s">
        <v>18</v>
      </c>
      <c r="J788" t="str">
        <f>"5147148600"</f>
        <v>5147148600</v>
      </c>
      <c r="K788" t="s">
        <v>3172</v>
      </c>
      <c r="L788" t="s">
        <v>319</v>
      </c>
      <c r="M788" t="s">
        <v>21</v>
      </c>
    </row>
    <row r="789" spans="1:13" x14ac:dyDescent="0.35">
      <c r="A789" t="str">
        <f>"226-8988"</f>
        <v>226-8988</v>
      </c>
      <c r="B789" t="s">
        <v>3173</v>
      </c>
      <c r="C789" t="str">
        <f>"5350"</f>
        <v>5350</v>
      </c>
      <c r="D789" t="str">
        <f>"14"</f>
        <v>14</v>
      </c>
      <c r="E789" t="s">
        <v>67</v>
      </c>
      <c r="F789" t="s">
        <v>40</v>
      </c>
      <c r="G789" t="s">
        <v>627</v>
      </c>
      <c r="H789" t="s">
        <v>17</v>
      </c>
      <c r="I789" t="s">
        <v>18</v>
      </c>
      <c r="J789" t="str">
        <f>"5146558119"</f>
        <v>5146558119</v>
      </c>
      <c r="K789" t="s">
        <v>3174</v>
      </c>
      <c r="L789" t="s">
        <v>534</v>
      </c>
      <c r="M789" t="s">
        <v>21</v>
      </c>
    </row>
    <row r="790" spans="1:13" x14ac:dyDescent="0.35">
      <c r="A790" t="str">
        <f>"226-9163"</f>
        <v>226-9163</v>
      </c>
      <c r="B790" t="s">
        <v>3175</v>
      </c>
      <c r="C790" t="str">
        <f>"1483"</f>
        <v>1483</v>
      </c>
      <c r="E790" t="s">
        <v>3176</v>
      </c>
      <c r="F790" t="s">
        <v>1554</v>
      </c>
      <c r="G790" t="s">
        <v>3177</v>
      </c>
      <c r="H790" t="s">
        <v>17</v>
      </c>
      <c r="I790" t="s">
        <v>18</v>
      </c>
      <c r="J790" t="str">
        <f>"4383963196"</f>
        <v>4383963196</v>
      </c>
      <c r="K790" t="s">
        <v>3178</v>
      </c>
      <c r="L790" t="s">
        <v>350</v>
      </c>
      <c r="M790" t="s">
        <v>21</v>
      </c>
    </row>
    <row r="791" spans="1:13" x14ac:dyDescent="0.35">
      <c r="A791" t="str">
        <f>"226-9199"</f>
        <v>226-9199</v>
      </c>
      <c r="B791" t="s">
        <v>3179</v>
      </c>
      <c r="C791" t="str">
        <f>"185"</f>
        <v>185</v>
      </c>
      <c r="E791" t="s">
        <v>3180</v>
      </c>
      <c r="F791" t="s">
        <v>157</v>
      </c>
      <c r="G791" t="s">
        <v>3181</v>
      </c>
      <c r="H791" t="s">
        <v>17</v>
      </c>
      <c r="I791" t="s">
        <v>18</v>
      </c>
      <c r="J791" t="str">
        <f>"4388761082"</f>
        <v>4388761082</v>
      </c>
      <c r="K791" t="s">
        <v>3182</v>
      </c>
      <c r="L791" t="s">
        <v>27</v>
      </c>
      <c r="M791" t="s">
        <v>21</v>
      </c>
    </row>
    <row r="792" spans="1:13" x14ac:dyDescent="0.35">
      <c r="A792" t="str">
        <f>"226-9495"</f>
        <v>226-9495</v>
      </c>
      <c r="B792" t="s">
        <v>3183</v>
      </c>
      <c r="C792" t="str">
        <f>"6710"</f>
        <v>6710</v>
      </c>
      <c r="D792" t="str">
        <f>"1"</f>
        <v>1</v>
      </c>
      <c r="E792" t="s">
        <v>3184</v>
      </c>
      <c r="F792" t="s">
        <v>24</v>
      </c>
      <c r="G792" t="s">
        <v>3185</v>
      </c>
      <c r="H792" t="s">
        <v>17</v>
      </c>
      <c r="I792" t="s">
        <v>18</v>
      </c>
      <c r="J792" t="str">
        <f>"4385250223"</f>
        <v>4385250223</v>
      </c>
      <c r="K792" t="s">
        <v>3186</v>
      </c>
      <c r="L792" t="s">
        <v>534</v>
      </c>
      <c r="M792" t="s">
        <v>21</v>
      </c>
    </row>
    <row r="793" spans="1:13" x14ac:dyDescent="0.35">
      <c r="A793" t="str">
        <f>"226-9661"</f>
        <v>226-9661</v>
      </c>
      <c r="B793" t="s">
        <v>3187</v>
      </c>
      <c r="C793" t="str">
        <f>"3845"</f>
        <v>3845</v>
      </c>
      <c r="D793" t="str">
        <f>"2"</f>
        <v>2</v>
      </c>
      <c r="E793" t="s">
        <v>3188</v>
      </c>
      <c r="F793" t="s">
        <v>24</v>
      </c>
      <c r="G793" t="s">
        <v>3189</v>
      </c>
      <c r="H793" t="s">
        <v>17</v>
      </c>
      <c r="I793" t="s">
        <v>18</v>
      </c>
      <c r="J793" t="str">
        <f>"4388808997"</f>
        <v>4388808997</v>
      </c>
      <c r="K793" t="s">
        <v>3190</v>
      </c>
      <c r="L793" t="s">
        <v>29</v>
      </c>
      <c r="M793" t="s">
        <v>21</v>
      </c>
    </row>
    <row r="794" spans="1:13" x14ac:dyDescent="0.35">
      <c r="A794" t="str">
        <f>"227-0032"</f>
        <v>227-0032</v>
      </c>
      <c r="B794" t="s">
        <v>3191</v>
      </c>
      <c r="C794" t="str">
        <f>"5627"</f>
        <v>5627</v>
      </c>
      <c r="E794" t="s">
        <v>3192</v>
      </c>
      <c r="F794" t="s">
        <v>24</v>
      </c>
      <c r="G794" t="s">
        <v>3193</v>
      </c>
      <c r="H794" t="s">
        <v>17</v>
      </c>
      <c r="I794" t="s">
        <v>18</v>
      </c>
      <c r="J794" t="str">
        <f>"4389893117"</f>
        <v>4389893117</v>
      </c>
      <c r="K794" t="s">
        <v>3194</v>
      </c>
      <c r="L794" t="s">
        <v>137</v>
      </c>
      <c r="M794" t="s">
        <v>21</v>
      </c>
    </row>
    <row r="795" spans="1:13" x14ac:dyDescent="0.35">
      <c r="A795" t="str">
        <f>"227-5323"</f>
        <v>227-5323</v>
      </c>
      <c r="B795" t="s">
        <v>3195</v>
      </c>
      <c r="C795" t="str">
        <f>"7"</f>
        <v>7</v>
      </c>
      <c r="D795" t="str">
        <f>"4"</f>
        <v>4</v>
      </c>
      <c r="E795" t="s">
        <v>3196</v>
      </c>
      <c r="F795" t="s">
        <v>866</v>
      </c>
      <c r="G795" t="s">
        <v>3197</v>
      </c>
      <c r="H795" t="s">
        <v>17</v>
      </c>
      <c r="I795" t="s">
        <v>18</v>
      </c>
      <c r="J795" t="str">
        <f>"5149614475"</f>
        <v>5149614475</v>
      </c>
      <c r="K795" t="s">
        <v>3198</v>
      </c>
      <c r="L795" t="s">
        <v>20</v>
      </c>
      <c r="M795" t="s">
        <v>21</v>
      </c>
    </row>
    <row r="796" spans="1:13" x14ac:dyDescent="0.35">
      <c r="A796" t="str">
        <f>"227-5854"</f>
        <v>227-5854</v>
      </c>
      <c r="B796" t="s">
        <v>3199</v>
      </c>
      <c r="C796" t="str">
        <f>"5460"</f>
        <v>5460</v>
      </c>
      <c r="E796" t="s">
        <v>3200</v>
      </c>
      <c r="F796" t="s">
        <v>24</v>
      </c>
      <c r="G796" t="s">
        <v>894</v>
      </c>
      <c r="H796" t="s">
        <v>17</v>
      </c>
      <c r="I796" t="s">
        <v>18</v>
      </c>
      <c r="J796" t="str">
        <f>"4385222738"</f>
        <v>4385222738</v>
      </c>
      <c r="K796" t="s">
        <v>3201</v>
      </c>
      <c r="L796" t="s">
        <v>203</v>
      </c>
      <c r="M796" t="s">
        <v>21</v>
      </c>
    </row>
    <row r="797" spans="1:13" x14ac:dyDescent="0.35">
      <c r="A797" t="str">
        <f>"227-7320"</f>
        <v>227-7320</v>
      </c>
      <c r="B797" t="s">
        <v>3202</v>
      </c>
      <c r="C797" t="str">
        <f>"505"</f>
        <v>505</v>
      </c>
      <c r="E797" t="s">
        <v>3203</v>
      </c>
      <c r="F797" t="s">
        <v>54</v>
      </c>
      <c r="G797" t="s">
        <v>3204</v>
      </c>
      <c r="H797" t="s">
        <v>17</v>
      </c>
      <c r="I797" t="s">
        <v>18</v>
      </c>
      <c r="J797" t="str">
        <f>"5145039744"</f>
        <v>5145039744</v>
      </c>
      <c r="K797" t="s">
        <v>3205</v>
      </c>
      <c r="L797" t="s">
        <v>383</v>
      </c>
      <c r="M797" t="s">
        <v>21</v>
      </c>
    </row>
    <row r="798" spans="1:13" x14ac:dyDescent="0.35">
      <c r="A798" t="str">
        <f>"227-7544"</f>
        <v>227-7544</v>
      </c>
      <c r="B798" t="s">
        <v>3206</v>
      </c>
      <c r="C798" t="str">
        <f>"3620"</f>
        <v>3620</v>
      </c>
      <c r="D798" t="str">
        <f>"32"</f>
        <v>32</v>
      </c>
      <c r="E798" t="s">
        <v>3207</v>
      </c>
      <c r="F798" t="s">
        <v>24</v>
      </c>
      <c r="G798" t="s">
        <v>3208</v>
      </c>
      <c r="H798" t="s">
        <v>17</v>
      </c>
      <c r="I798" t="s">
        <v>18</v>
      </c>
      <c r="J798" t="str">
        <f>"5143805366"</f>
        <v>5143805366</v>
      </c>
      <c r="K798" t="s">
        <v>3209</v>
      </c>
      <c r="L798" t="s">
        <v>534</v>
      </c>
      <c r="M798" t="s">
        <v>21</v>
      </c>
    </row>
    <row r="799" spans="1:13" x14ac:dyDescent="0.35">
      <c r="A799" t="str">
        <f>"227-7552"</f>
        <v>227-7552</v>
      </c>
      <c r="B799" t="s">
        <v>3210</v>
      </c>
      <c r="C799" t="str">
        <f>"3469"</f>
        <v>3469</v>
      </c>
      <c r="D799" t="str">
        <f>"121"</f>
        <v>121</v>
      </c>
      <c r="E799" t="s">
        <v>455</v>
      </c>
      <c r="F799" t="s">
        <v>24</v>
      </c>
      <c r="G799" t="s">
        <v>1097</v>
      </c>
      <c r="H799" t="s">
        <v>17</v>
      </c>
      <c r="I799" t="s">
        <v>18</v>
      </c>
      <c r="J799" t="str">
        <f>"5148256055"</f>
        <v>5148256055</v>
      </c>
      <c r="K799" t="s">
        <v>3211</v>
      </c>
      <c r="L799" t="s">
        <v>313</v>
      </c>
      <c r="M799" t="s">
        <v>21</v>
      </c>
    </row>
    <row r="800" spans="1:13" x14ac:dyDescent="0.35">
      <c r="A800" t="str">
        <f>"227-7619"</f>
        <v>227-7619</v>
      </c>
      <c r="B800" t="s">
        <v>3212</v>
      </c>
      <c r="C800" t="str">
        <f>"2292"</f>
        <v>2292</v>
      </c>
      <c r="E800" t="s">
        <v>3213</v>
      </c>
      <c r="F800" t="s">
        <v>2850</v>
      </c>
      <c r="G800" t="s">
        <v>3214</v>
      </c>
      <c r="H800" t="s">
        <v>17</v>
      </c>
      <c r="I800" t="s">
        <v>18</v>
      </c>
      <c r="J800" t="str">
        <f>"4508817187"</f>
        <v>4508817187</v>
      </c>
      <c r="K800" t="s">
        <v>3215</v>
      </c>
      <c r="L800" t="s">
        <v>27</v>
      </c>
      <c r="M800" t="s">
        <v>21</v>
      </c>
    </row>
    <row r="801" spans="1:13" x14ac:dyDescent="0.35">
      <c r="A801" t="str">
        <f>"227-7786"</f>
        <v>227-7786</v>
      </c>
      <c r="B801" t="s">
        <v>3216</v>
      </c>
      <c r="C801" t="str">
        <f>"6395A"</f>
        <v>6395A</v>
      </c>
      <c r="D801" t="str">
        <f>"A"</f>
        <v>A</v>
      </c>
      <c r="E801" t="s">
        <v>3217</v>
      </c>
      <c r="F801" t="s">
        <v>3218</v>
      </c>
      <c r="G801" t="s">
        <v>3219</v>
      </c>
      <c r="H801" t="s">
        <v>17</v>
      </c>
      <c r="I801" t="s">
        <v>18</v>
      </c>
      <c r="J801" t="str">
        <f>"5144164422"</f>
        <v>5144164422</v>
      </c>
      <c r="K801" t="s">
        <v>3220</v>
      </c>
      <c r="L801" t="s">
        <v>534</v>
      </c>
      <c r="M801" t="s">
        <v>21</v>
      </c>
    </row>
    <row r="802" spans="1:13" x14ac:dyDescent="0.35">
      <c r="A802" t="str">
        <f>"227-8986"</f>
        <v>227-8986</v>
      </c>
      <c r="B802" t="s">
        <v>3221</v>
      </c>
      <c r="C802" t="str">
        <f>"4903"</f>
        <v>4903</v>
      </c>
      <c r="D802" t="str">
        <f>"201"</f>
        <v>201</v>
      </c>
      <c r="E802" t="s">
        <v>3222</v>
      </c>
      <c r="F802" t="s">
        <v>24</v>
      </c>
      <c r="G802" t="s">
        <v>3223</v>
      </c>
      <c r="H802" t="s">
        <v>17</v>
      </c>
      <c r="I802" t="s">
        <v>18</v>
      </c>
      <c r="J802" t="str">
        <f>"4389797893"</f>
        <v>4389797893</v>
      </c>
      <c r="K802" t="s">
        <v>3224</v>
      </c>
      <c r="L802" t="s">
        <v>466</v>
      </c>
      <c r="M802" t="s">
        <v>21</v>
      </c>
    </row>
    <row r="803" spans="1:13" x14ac:dyDescent="0.35">
      <c r="A803" t="str">
        <f>"227-9288"</f>
        <v>227-9288</v>
      </c>
      <c r="B803" t="s">
        <v>3225</v>
      </c>
      <c r="C803" t="str">
        <f>"6881"</f>
        <v>6881</v>
      </c>
      <c r="E803" t="s">
        <v>3226</v>
      </c>
      <c r="F803" t="s">
        <v>24</v>
      </c>
      <c r="G803" t="s">
        <v>3227</v>
      </c>
      <c r="H803" t="s">
        <v>17</v>
      </c>
      <c r="I803" t="s">
        <v>18</v>
      </c>
      <c r="J803" t="str">
        <f>"4383342274"</f>
        <v>4383342274</v>
      </c>
      <c r="K803" t="s">
        <v>3228</v>
      </c>
      <c r="L803" t="s">
        <v>39</v>
      </c>
      <c r="M803" t="s">
        <v>21</v>
      </c>
    </row>
    <row r="804" spans="1:13" x14ac:dyDescent="0.35">
      <c r="A804" t="str">
        <f>"228-3732"</f>
        <v>228-3732</v>
      </c>
      <c r="B804" t="s">
        <v>3229</v>
      </c>
      <c r="C804" t="str">
        <f>"7106"</f>
        <v>7106</v>
      </c>
      <c r="E804" t="s">
        <v>553</v>
      </c>
      <c r="F804" t="s">
        <v>24</v>
      </c>
      <c r="G804" t="s">
        <v>3230</v>
      </c>
      <c r="H804" t="s">
        <v>17</v>
      </c>
      <c r="I804" t="s">
        <v>18</v>
      </c>
      <c r="J804" t="str">
        <f>"5142160290"</f>
        <v>5142160290</v>
      </c>
      <c r="K804" t="s">
        <v>3231</v>
      </c>
      <c r="L804" t="s">
        <v>168</v>
      </c>
      <c r="M804" t="s">
        <v>21</v>
      </c>
    </row>
    <row r="805" spans="1:13" x14ac:dyDescent="0.35">
      <c r="A805" t="str">
        <f>"228-4253"</f>
        <v>228-4253</v>
      </c>
      <c r="B805" t="s">
        <v>3233</v>
      </c>
      <c r="C805" t="str">
        <f>"1400"</f>
        <v>1400</v>
      </c>
      <c r="E805" t="s">
        <v>238</v>
      </c>
      <c r="F805" t="s">
        <v>24</v>
      </c>
      <c r="G805" t="s">
        <v>3234</v>
      </c>
      <c r="H805" t="s">
        <v>17</v>
      </c>
      <c r="I805" t="s">
        <v>18</v>
      </c>
      <c r="J805" t="str">
        <f>"5149246419"</f>
        <v>5149246419</v>
      </c>
      <c r="K805" t="s">
        <v>3235</v>
      </c>
      <c r="L805" t="s">
        <v>608</v>
      </c>
      <c r="M805" t="s">
        <v>21</v>
      </c>
    </row>
    <row r="806" spans="1:13" x14ac:dyDescent="0.35">
      <c r="A806" t="str">
        <f>"228-4713"</f>
        <v>228-4713</v>
      </c>
      <c r="B806" t="s">
        <v>3236</v>
      </c>
      <c r="C806" t="str">
        <f>"6012"</f>
        <v>6012</v>
      </c>
      <c r="E806" t="s">
        <v>3237</v>
      </c>
      <c r="F806" t="s">
        <v>3238</v>
      </c>
      <c r="G806" t="s">
        <v>3239</v>
      </c>
      <c r="H806" t="s">
        <v>17</v>
      </c>
      <c r="I806" t="s">
        <v>18</v>
      </c>
      <c r="J806" t="str">
        <f>"4388664651"</f>
        <v>4388664651</v>
      </c>
      <c r="K806" t="s">
        <v>3240</v>
      </c>
      <c r="L806" t="s">
        <v>168</v>
      </c>
      <c r="M806" t="s">
        <v>21</v>
      </c>
    </row>
    <row r="807" spans="1:13" x14ac:dyDescent="0.35">
      <c r="A807" t="str">
        <f>"228-6069"</f>
        <v>228-6069</v>
      </c>
      <c r="B807" t="s">
        <v>3241</v>
      </c>
      <c r="C807" t="str">
        <f>"3480"</f>
        <v>3480</v>
      </c>
      <c r="D807" t="str">
        <f>"18"</f>
        <v>18</v>
      </c>
      <c r="E807" t="s">
        <v>508</v>
      </c>
      <c r="F807" t="s">
        <v>24</v>
      </c>
      <c r="G807" t="s">
        <v>2416</v>
      </c>
      <c r="H807" t="s">
        <v>17</v>
      </c>
      <c r="I807" t="s">
        <v>18</v>
      </c>
      <c r="J807" t="str">
        <f>"4388832018"</f>
        <v>4388832018</v>
      </c>
      <c r="K807" t="s">
        <v>3242</v>
      </c>
      <c r="L807" t="s">
        <v>319</v>
      </c>
      <c r="M807" t="s">
        <v>21</v>
      </c>
    </row>
    <row r="808" spans="1:13" x14ac:dyDescent="0.35">
      <c r="A808" t="str">
        <f>"228-8545"</f>
        <v>228-8545</v>
      </c>
      <c r="B808" t="s">
        <v>3243</v>
      </c>
      <c r="C808" t="str">
        <f>"1180"</f>
        <v>1180</v>
      </c>
      <c r="E808" t="s">
        <v>3244</v>
      </c>
      <c r="F808" t="s">
        <v>24</v>
      </c>
      <c r="G808" t="s">
        <v>3245</v>
      </c>
      <c r="H808" t="s">
        <v>17</v>
      </c>
      <c r="I808" t="s">
        <v>18</v>
      </c>
      <c r="J808" t="str">
        <f>"5145725810"</f>
        <v>5145725810</v>
      </c>
      <c r="K808" t="s">
        <v>3246</v>
      </c>
      <c r="L808" t="s">
        <v>29</v>
      </c>
      <c r="M808" t="s">
        <v>21</v>
      </c>
    </row>
    <row r="809" spans="1:13" x14ac:dyDescent="0.35">
      <c r="A809" t="str">
        <f>"229-1020"</f>
        <v>229-1020</v>
      </c>
      <c r="B809" t="s">
        <v>3247</v>
      </c>
      <c r="C809" t="str">
        <f>"6500"</f>
        <v>6500</v>
      </c>
      <c r="D809" t="str">
        <f>"107"</f>
        <v>107</v>
      </c>
      <c r="E809" t="s">
        <v>1278</v>
      </c>
      <c r="F809" t="s">
        <v>24</v>
      </c>
      <c r="G809" t="s">
        <v>3248</v>
      </c>
      <c r="H809" t="s">
        <v>17</v>
      </c>
      <c r="I809" t="s">
        <v>18</v>
      </c>
      <c r="J809" t="str">
        <f>"4384092996"</f>
        <v>4384092996</v>
      </c>
      <c r="K809" t="s">
        <v>3249</v>
      </c>
      <c r="L809" t="s">
        <v>198</v>
      </c>
      <c r="M809" t="s">
        <v>21</v>
      </c>
    </row>
    <row r="810" spans="1:13" x14ac:dyDescent="0.35">
      <c r="A810" t="str">
        <f>"229-1613"</f>
        <v>229-1613</v>
      </c>
      <c r="B810" t="s">
        <v>3250</v>
      </c>
      <c r="C810" t="str">
        <f>"5650"</f>
        <v>5650</v>
      </c>
      <c r="E810" t="s">
        <v>3251</v>
      </c>
      <c r="F810" t="s">
        <v>24</v>
      </c>
      <c r="G810" t="s">
        <v>3252</v>
      </c>
      <c r="H810" t="s">
        <v>17</v>
      </c>
      <c r="I810" t="s">
        <v>18</v>
      </c>
      <c r="J810" t="str">
        <f>"5149470809"</f>
        <v>5149470809</v>
      </c>
      <c r="K810" t="s">
        <v>3253</v>
      </c>
      <c r="L810" t="s">
        <v>137</v>
      </c>
      <c r="M810" t="s">
        <v>21</v>
      </c>
    </row>
    <row r="811" spans="1:13" x14ac:dyDescent="0.35">
      <c r="A811" t="str">
        <f>"229-1769"</f>
        <v>229-1769</v>
      </c>
      <c r="B811" t="s">
        <v>3254</v>
      </c>
      <c r="C811" t="str">
        <f>"44"</f>
        <v>44</v>
      </c>
      <c r="D811" t="str">
        <f>"14"</f>
        <v>14</v>
      </c>
      <c r="E811" t="s">
        <v>3255</v>
      </c>
      <c r="F811" t="s">
        <v>24</v>
      </c>
      <c r="G811" t="s">
        <v>3256</v>
      </c>
      <c r="H811" t="s">
        <v>17</v>
      </c>
      <c r="I811" t="s">
        <v>18</v>
      </c>
      <c r="J811" t="str">
        <f>"4389261542"</f>
        <v>4389261542</v>
      </c>
      <c r="K811" t="s">
        <v>3257</v>
      </c>
      <c r="L811" t="s">
        <v>39</v>
      </c>
      <c r="M811" t="s">
        <v>21</v>
      </c>
    </row>
    <row r="812" spans="1:13" x14ac:dyDescent="0.35">
      <c r="A812" t="str">
        <f>"229-2294"</f>
        <v>229-2294</v>
      </c>
      <c r="B812" t="s">
        <v>3258</v>
      </c>
      <c r="C812" t="str">
        <f>"4844"</f>
        <v>4844</v>
      </c>
      <c r="D812" t="str">
        <f>"5"</f>
        <v>5</v>
      </c>
      <c r="E812" t="s">
        <v>3259</v>
      </c>
      <c r="F812" t="s">
        <v>24</v>
      </c>
      <c r="G812" t="s">
        <v>3260</v>
      </c>
      <c r="H812" t="s">
        <v>17</v>
      </c>
      <c r="I812" t="s">
        <v>18</v>
      </c>
      <c r="J812" t="str">
        <f>"4385096644"</f>
        <v>4385096644</v>
      </c>
      <c r="K812" t="s">
        <v>3261</v>
      </c>
      <c r="L812" t="s">
        <v>86</v>
      </c>
      <c r="M812" t="s">
        <v>21</v>
      </c>
    </row>
    <row r="813" spans="1:13" x14ac:dyDescent="0.35">
      <c r="A813" t="str">
        <f>"229-3055"</f>
        <v>229-3055</v>
      </c>
      <c r="B813" t="s">
        <v>3262</v>
      </c>
      <c r="C813" t="str">
        <f>"10921"</f>
        <v>10921</v>
      </c>
      <c r="E813" t="s">
        <v>3263</v>
      </c>
      <c r="F813" t="s">
        <v>24</v>
      </c>
      <c r="G813" t="s">
        <v>3264</v>
      </c>
      <c r="H813" t="s">
        <v>17</v>
      </c>
      <c r="I813" t="s">
        <v>18</v>
      </c>
      <c r="J813" t="str">
        <f>"5147753217"</f>
        <v>5147753217</v>
      </c>
      <c r="K813" t="s">
        <v>3265</v>
      </c>
      <c r="L813" t="s">
        <v>168</v>
      </c>
      <c r="M813" t="s">
        <v>21</v>
      </c>
    </row>
    <row r="814" spans="1:13" x14ac:dyDescent="0.35">
      <c r="A814" t="str">
        <f>"229-3333"</f>
        <v>229-3333</v>
      </c>
      <c r="B814" t="s">
        <v>3266</v>
      </c>
      <c r="C814" t="str">
        <f>"11825"</f>
        <v>11825</v>
      </c>
      <c r="E814" t="s">
        <v>3267</v>
      </c>
      <c r="F814" t="s">
        <v>40</v>
      </c>
      <c r="G814" t="s">
        <v>3268</v>
      </c>
      <c r="H814" t="s">
        <v>17</v>
      </c>
      <c r="I814" t="s">
        <v>18</v>
      </c>
      <c r="J814" t="str">
        <f>"5147752455"</f>
        <v>5147752455</v>
      </c>
      <c r="K814" t="s">
        <v>3269</v>
      </c>
      <c r="L814" t="s">
        <v>76</v>
      </c>
      <c r="M814" t="s">
        <v>21</v>
      </c>
    </row>
    <row r="815" spans="1:13" x14ac:dyDescent="0.35">
      <c r="A815" t="str">
        <f>"229-3655"</f>
        <v>229-3655</v>
      </c>
      <c r="B815" t="s">
        <v>3270</v>
      </c>
      <c r="C815" t="str">
        <f>"7892"</f>
        <v>7892</v>
      </c>
      <c r="E815" t="s">
        <v>3271</v>
      </c>
      <c r="F815" t="s">
        <v>40</v>
      </c>
      <c r="G815" t="s">
        <v>3272</v>
      </c>
      <c r="H815" t="s">
        <v>17</v>
      </c>
      <c r="I815" t="s">
        <v>18</v>
      </c>
      <c r="J815" t="str">
        <f>"5143226805"</f>
        <v>5143226805</v>
      </c>
      <c r="K815" t="s">
        <v>3273</v>
      </c>
      <c r="L815" t="s">
        <v>168</v>
      </c>
      <c r="M815" t="s">
        <v>21</v>
      </c>
    </row>
    <row r="816" spans="1:13" x14ac:dyDescent="0.35">
      <c r="A816" t="str">
        <f>"229-3925"</f>
        <v>229-3925</v>
      </c>
      <c r="B816" t="s">
        <v>3274</v>
      </c>
      <c r="C816" t="str">
        <f>"7085"</f>
        <v>7085</v>
      </c>
      <c r="E816" t="s">
        <v>3275</v>
      </c>
      <c r="F816" t="s">
        <v>1332</v>
      </c>
      <c r="G816" t="s">
        <v>3276</v>
      </c>
      <c r="H816" t="s">
        <v>17</v>
      </c>
      <c r="I816" t="s">
        <v>18</v>
      </c>
      <c r="J816" t="str">
        <f>"4389782525"</f>
        <v>4389782525</v>
      </c>
      <c r="K816" t="s">
        <v>3277</v>
      </c>
      <c r="L816" t="s">
        <v>203</v>
      </c>
      <c r="M816" t="s">
        <v>21</v>
      </c>
    </row>
    <row r="817" spans="1:13" x14ac:dyDescent="0.35">
      <c r="A817" t="str">
        <f>"614-0546"</f>
        <v>614-0546</v>
      </c>
      <c r="B817" t="s">
        <v>3278</v>
      </c>
      <c r="C817" t="str">
        <f>"231"</f>
        <v>231</v>
      </c>
      <c r="E817" t="s">
        <v>3279</v>
      </c>
      <c r="F817" t="s">
        <v>3280</v>
      </c>
      <c r="G817" t="s">
        <v>3281</v>
      </c>
      <c r="H817" t="s">
        <v>17</v>
      </c>
      <c r="I817" t="s">
        <v>18</v>
      </c>
      <c r="J817" t="str">
        <f>"5145197423"</f>
        <v>5145197423</v>
      </c>
      <c r="K817" t="s">
        <v>3282</v>
      </c>
      <c r="L817" t="s">
        <v>313</v>
      </c>
      <c r="M817" t="s">
        <v>21</v>
      </c>
    </row>
    <row r="818" spans="1:13" x14ac:dyDescent="0.35">
      <c r="A818" t="str">
        <f>"619-4917"</f>
        <v>619-4917</v>
      </c>
      <c r="B818" t="s">
        <v>3283</v>
      </c>
      <c r="C818" t="str">
        <f>"7015"</f>
        <v>7015</v>
      </c>
      <c r="D818" t="str">
        <f>"6"</f>
        <v>6</v>
      </c>
      <c r="E818" t="s">
        <v>3284</v>
      </c>
      <c r="F818" t="s">
        <v>24</v>
      </c>
      <c r="G818" t="s">
        <v>3285</v>
      </c>
      <c r="H818" t="s">
        <v>17</v>
      </c>
      <c r="I818" t="s">
        <v>18</v>
      </c>
      <c r="J818" t="str">
        <f>"4389855150"</f>
        <v>4389855150</v>
      </c>
      <c r="K818" t="s">
        <v>3286</v>
      </c>
      <c r="L818" t="s">
        <v>137</v>
      </c>
      <c r="M818" t="s">
        <v>21</v>
      </c>
    </row>
    <row r="819" spans="1:13" x14ac:dyDescent="0.35">
      <c r="A819" t="str">
        <f>"619-5220"</f>
        <v>619-5220</v>
      </c>
      <c r="B819" t="s">
        <v>3287</v>
      </c>
      <c r="C819" t="str">
        <f>"7630"</f>
        <v>7630</v>
      </c>
      <c r="D819" t="str">
        <f>"9"</f>
        <v>9</v>
      </c>
      <c r="E819" t="s">
        <v>3288</v>
      </c>
      <c r="F819" t="s">
        <v>40</v>
      </c>
      <c r="G819" t="s">
        <v>3289</v>
      </c>
      <c r="H819" t="s">
        <v>17</v>
      </c>
      <c r="I819" t="s">
        <v>18</v>
      </c>
      <c r="J819" t="str">
        <f>"5144633883"</f>
        <v>5144633883</v>
      </c>
      <c r="K819" t="s">
        <v>3290</v>
      </c>
      <c r="L819" t="s">
        <v>86</v>
      </c>
      <c r="M819" t="s">
        <v>21</v>
      </c>
    </row>
    <row r="820" spans="1:13" x14ac:dyDescent="0.35">
      <c r="A820" t="str">
        <f>"619-5292"</f>
        <v>619-5292</v>
      </c>
      <c r="B820" t="s">
        <v>3291</v>
      </c>
      <c r="C820" t="str">
        <f>"2683"</f>
        <v>2683</v>
      </c>
      <c r="D820" t="str">
        <f>"1"</f>
        <v>1</v>
      </c>
      <c r="E820" t="s">
        <v>531</v>
      </c>
      <c r="F820" t="s">
        <v>24</v>
      </c>
      <c r="G820" t="s">
        <v>3292</v>
      </c>
      <c r="H820" t="s">
        <v>17</v>
      </c>
      <c r="I820" t="s">
        <v>18</v>
      </c>
      <c r="J820" t="str">
        <f>"4387288424"</f>
        <v>4387288424</v>
      </c>
      <c r="K820" t="s">
        <v>3293</v>
      </c>
      <c r="L820" t="s">
        <v>168</v>
      </c>
      <c r="M820" t="s">
        <v>21</v>
      </c>
    </row>
    <row r="821" spans="1:13" x14ac:dyDescent="0.35">
      <c r="A821" t="str">
        <f>"619-5785"</f>
        <v>619-5785</v>
      </c>
      <c r="B821" t="s">
        <v>3294</v>
      </c>
      <c r="C821" t="str">
        <f>"6450"</f>
        <v>6450</v>
      </c>
      <c r="D821" t="str">
        <f>"3"</f>
        <v>3</v>
      </c>
      <c r="E821" t="s">
        <v>1261</v>
      </c>
      <c r="F821" t="s">
        <v>24</v>
      </c>
      <c r="G821" t="s">
        <v>3295</v>
      </c>
      <c r="H821" t="s">
        <v>17</v>
      </c>
      <c r="I821" t="s">
        <v>18</v>
      </c>
      <c r="J821" t="str">
        <f>"4388835347"</f>
        <v>4388835347</v>
      </c>
      <c r="K821" t="s">
        <v>3296</v>
      </c>
      <c r="L821" t="s">
        <v>86</v>
      </c>
      <c r="M821" t="s">
        <v>21</v>
      </c>
    </row>
    <row r="822" spans="1:13" x14ac:dyDescent="0.35">
      <c r="A822" t="str">
        <f>"906-4340"</f>
        <v>906-4340</v>
      </c>
      <c r="B822" t="s">
        <v>3297</v>
      </c>
      <c r="C822" t="str">
        <f>"8189"</f>
        <v>8189</v>
      </c>
      <c r="E822" t="s">
        <v>556</v>
      </c>
      <c r="F822" t="s">
        <v>24</v>
      </c>
      <c r="G822" t="s">
        <v>3298</v>
      </c>
      <c r="H822" t="s">
        <v>17</v>
      </c>
      <c r="I822" t="s">
        <v>18</v>
      </c>
      <c r="J822" t="str">
        <f>"5148129342"</f>
        <v>5148129342</v>
      </c>
      <c r="K822" t="s">
        <v>3299</v>
      </c>
      <c r="L822" t="s">
        <v>20</v>
      </c>
      <c r="M822" t="s">
        <v>21</v>
      </c>
    </row>
    <row r="823" spans="1:13" x14ac:dyDescent="0.35">
      <c r="A823" t="str">
        <f>"220-4100"</f>
        <v>220-4100</v>
      </c>
      <c r="B823" t="s">
        <v>3300</v>
      </c>
      <c r="C823" t="str">
        <f>"10713"</f>
        <v>10713</v>
      </c>
      <c r="E823" t="s">
        <v>3301</v>
      </c>
      <c r="F823" t="s">
        <v>24</v>
      </c>
      <c r="G823" t="s">
        <v>3302</v>
      </c>
      <c r="H823" t="s">
        <v>17</v>
      </c>
      <c r="I823" t="s">
        <v>18</v>
      </c>
      <c r="J823" t="str">
        <f>"5146259095"</f>
        <v>5146259095</v>
      </c>
      <c r="K823" t="s">
        <v>3303</v>
      </c>
      <c r="L823" t="s">
        <v>193</v>
      </c>
      <c r="M823" t="s">
        <v>21</v>
      </c>
    </row>
    <row r="824" spans="1:13" x14ac:dyDescent="0.35">
      <c r="A824" t="str">
        <f>"126-0864"</f>
        <v>126-0864</v>
      </c>
      <c r="B824" t="s">
        <v>3304</v>
      </c>
      <c r="C824" t="str">
        <f>"2516"</f>
        <v>2516</v>
      </c>
      <c r="D824" t="str">
        <f>"2061 R"</f>
        <v>2061 R</v>
      </c>
      <c r="E824" t="s">
        <v>3305</v>
      </c>
      <c r="F824" t="s">
        <v>2533</v>
      </c>
      <c r="G824" t="s">
        <v>3306</v>
      </c>
      <c r="H824" t="s">
        <v>17</v>
      </c>
      <c r="I824" t="s">
        <v>18</v>
      </c>
      <c r="J824" t="str">
        <f>"4382740503"</f>
        <v>4382740503</v>
      </c>
      <c r="K824" t="s">
        <v>3307</v>
      </c>
      <c r="L824" t="s">
        <v>39</v>
      </c>
      <c r="M824" t="s">
        <v>21</v>
      </c>
    </row>
    <row r="825" spans="1:13" x14ac:dyDescent="0.35">
      <c r="A825" t="str">
        <f>"222-8831"</f>
        <v>222-8831</v>
      </c>
      <c r="B825" t="s">
        <v>3308</v>
      </c>
      <c r="C825" t="str">
        <f>"724"</f>
        <v>724</v>
      </c>
      <c r="E825" t="s">
        <v>3309</v>
      </c>
      <c r="F825" t="s">
        <v>143</v>
      </c>
      <c r="G825" t="s">
        <v>3310</v>
      </c>
      <c r="H825" t="s">
        <v>17</v>
      </c>
      <c r="I825" t="s">
        <v>18</v>
      </c>
      <c r="J825" t="str">
        <f>"4388354902"</f>
        <v>4388354902</v>
      </c>
      <c r="K825" t="s">
        <v>3311</v>
      </c>
      <c r="L825" t="s">
        <v>76</v>
      </c>
      <c r="M825" t="s">
        <v>21</v>
      </c>
    </row>
    <row r="826" spans="1:13" x14ac:dyDescent="0.35">
      <c r="A826" t="str">
        <f>"223-6150"</f>
        <v>223-6150</v>
      </c>
      <c r="B826" t="s">
        <v>3312</v>
      </c>
      <c r="C826" t="str">
        <f>"3469"</f>
        <v>3469</v>
      </c>
      <c r="D826" t="str">
        <f>"211"</f>
        <v>211</v>
      </c>
      <c r="E826" t="s">
        <v>455</v>
      </c>
      <c r="F826" t="s">
        <v>24</v>
      </c>
      <c r="G826" t="s">
        <v>1097</v>
      </c>
      <c r="H826" t="s">
        <v>17</v>
      </c>
      <c r="I826" t="s">
        <v>18</v>
      </c>
      <c r="J826" t="str">
        <f>"5143761620"</f>
        <v>5143761620</v>
      </c>
      <c r="K826" t="s">
        <v>3313</v>
      </c>
      <c r="L826" t="s">
        <v>168</v>
      </c>
      <c r="M826" t="s">
        <v>21</v>
      </c>
    </row>
    <row r="827" spans="1:13" x14ac:dyDescent="0.35">
      <c r="A827" t="str">
        <f>"227-4069"</f>
        <v>227-4069</v>
      </c>
      <c r="B827" t="s">
        <v>3314</v>
      </c>
      <c r="C827" t="str">
        <f>"3558"</f>
        <v>3558</v>
      </c>
      <c r="E827" t="s">
        <v>1559</v>
      </c>
      <c r="F827" t="s">
        <v>24</v>
      </c>
      <c r="G827" t="s">
        <v>3315</v>
      </c>
      <c r="H827" t="s">
        <v>17</v>
      </c>
      <c r="I827" t="s">
        <v>18</v>
      </c>
      <c r="J827" t="str">
        <f>"5412394276"</f>
        <v>5412394276</v>
      </c>
      <c r="K827" t="s">
        <v>3316</v>
      </c>
      <c r="L827" t="s">
        <v>132</v>
      </c>
      <c r="M827" t="s">
        <v>21</v>
      </c>
    </row>
    <row r="828" spans="1:13" x14ac:dyDescent="0.35">
      <c r="A828" t="str">
        <f>"226-7162"</f>
        <v>226-7162</v>
      </c>
      <c r="B828" t="s">
        <v>3320</v>
      </c>
      <c r="C828" t="str">
        <f>"2020"</f>
        <v>2020</v>
      </c>
      <c r="D828" t="str">
        <f>"7"</f>
        <v>7</v>
      </c>
      <c r="E828" t="s">
        <v>3321</v>
      </c>
      <c r="F828" t="s">
        <v>24</v>
      </c>
      <c r="G828" t="s">
        <v>3322</v>
      </c>
      <c r="H828" t="s">
        <v>17</v>
      </c>
      <c r="I828" t="s">
        <v>18</v>
      </c>
      <c r="J828" t="str">
        <f>"5146779092"</f>
        <v>5146779092</v>
      </c>
      <c r="K828" t="s">
        <v>3323</v>
      </c>
      <c r="L828" t="s">
        <v>193</v>
      </c>
      <c r="M828" t="s">
        <v>21</v>
      </c>
    </row>
    <row r="829" spans="1:13" x14ac:dyDescent="0.35">
      <c r="A829" t="str">
        <f>"228-6509"</f>
        <v>228-6509</v>
      </c>
      <c r="B829" t="s">
        <v>3324</v>
      </c>
      <c r="C829" t="str">
        <f>"1971"</f>
        <v>1971</v>
      </c>
      <c r="E829" t="s">
        <v>3325</v>
      </c>
      <c r="F829" t="s">
        <v>24</v>
      </c>
      <c r="G829" t="s">
        <v>3326</v>
      </c>
      <c r="H829" t="s">
        <v>17</v>
      </c>
      <c r="I829" t="s">
        <v>18</v>
      </c>
      <c r="J829" t="str">
        <f>"4383474027"</f>
        <v>4383474027</v>
      </c>
      <c r="K829" t="s">
        <v>3327</v>
      </c>
      <c r="L829" t="s">
        <v>168</v>
      </c>
      <c r="M829" t="s">
        <v>21</v>
      </c>
    </row>
    <row r="830" spans="1:13" x14ac:dyDescent="0.35">
      <c r="A830" t="str">
        <f>"620-1192"</f>
        <v>620-1192</v>
      </c>
      <c r="B830" t="s">
        <v>3328</v>
      </c>
      <c r="C830" t="str">
        <f>"3469"</f>
        <v>3469</v>
      </c>
      <c r="D830" t="str">
        <f>"153"</f>
        <v>153</v>
      </c>
      <c r="E830" t="s">
        <v>455</v>
      </c>
      <c r="F830" t="s">
        <v>24</v>
      </c>
      <c r="G830" t="s">
        <v>1097</v>
      </c>
      <c r="H830" t="s">
        <v>17</v>
      </c>
      <c r="I830" t="s">
        <v>18</v>
      </c>
      <c r="J830" t="str">
        <f>"4383653557"</f>
        <v>4383653557</v>
      </c>
      <c r="K830" t="s">
        <v>3329</v>
      </c>
      <c r="L830" t="s">
        <v>220</v>
      </c>
      <c r="M830" t="s">
        <v>21</v>
      </c>
    </row>
    <row r="831" spans="1:13" x14ac:dyDescent="0.35">
      <c r="A831" t="str">
        <f>"004-6354"</f>
        <v>004-6354</v>
      </c>
      <c r="B831" t="s">
        <v>3330</v>
      </c>
      <c r="C831" t="str">
        <f>"5019"</f>
        <v>5019</v>
      </c>
      <c r="E831" t="s">
        <v>635</v>
      </c>
      <c r="F831" t="s">
        <v>24</v>
      </c>
      <c r="G831" t="s">
        <v>3331</v>
      </c>
      <c r="H831" t="s">
        <v>17</v>
      </c>
      <c r="I831" t="s">
        <v>18</v>
      </c>
      <c r="J831" t="str">
        <f>"4385034232"</f>
        <v>4385034232</v>
      </c>
      <c r="K831" t="s">
        <v>3332</v>
      </c>
      <c r="L831" t="s">
        <v>39</v>
      </c>
      <c r="M831" t="s">
        <v>21</v>
      </c>
    </row>
    <row r="832" spans="1:13" x14ac:dyDescent="0.35">
      <c r="A832" t="str">
        <f>"112-5752"</f>
        <v>112-5752</v>
      </c>
      <c r="B832" t="s">
        <v>3333</v>
      </c>
      <c r="C832" t="str">
        <f>"165"</f>
        <v>165</v>
      </c>
      <c r="D832" t="str">
        <f>"6"</f>
        <v>6</v>
      </c>
      <c r="E832" t="s">
        <v>986</v>
      </c>
      <c r="F832" t="s">
        <v>157</v>
      </c>
      <c r="G832" t="s">
        <v>3334</v>
      </c>
      <c r="H832" t="s">
        <v>17</v>
      </c>
      <c r="I832" t="s">
        <v>18</v>
      </c>
      <c r="J832" t="str">
        <f>"5149457846"</f>
        <v>5149457846</v>
      </c>
      <c r="K832" t="s">
        <v>3335</v>
      </c>
      <c r="L832" t="s">
        <v>313</v>
      </c>
      <c r="M832" t="s">
        <v>21</v>
      </c>
    </row>
    <row r="833" spans="1:13" x14ac:dyDescent="0.35">
      <c r="A833" t="str">
        <f>"227-5345"</f>
        <v>227-5345</v>
      </c>
      <c r="B833" t="s">
        <v>3336</v>
      </c>
      <c r="C833" t="str">
        <f>"5565"</f>
        <v>5565</v>
      </c>
      <c r="E833" t="s">
        <v>3337</v>
      </c>
      <c r="F833" t="s">
        <v>2880</v>
      </c>
      <c r="G833" t="s">
        <v>3338</v>
      </c>
      <c r="H833" t="s">
        <v>17</v>
      </c>
      <c r="I833" t="s">
        <v>18</v>
      </c>
      <c r="J833" t="str">
        <f>"5148238388"</f>
        <v>5148238388</v>
      </c>
      <c r="K833" t="s">
        <v>3339</v>
      </c>
      <c r="L833" t="s">
        <v>396</v>
      </c>
      <c r="M833" t="s">
        <v>21</v>
      </c>
    </row>
    <row r="834" spans="1:13" x14ac:dyDescent="0.35">
      <c r="A834" t="str">
        <f>"211-4603"</f>
        <v>211-4603</v>
      </c>
      <c r="B834" t="s">
        <v>3340</v>
      </c>
      <c r="C834" t="str">
        <f>"9072"</f>
        <v>9072</v>
      </c>
      <c r="E834" t="s">
        <v>536</v>
      </c>
      <c r="F834" t="s">
        <v>24</v>
      </c>
      <c r="G834" t="s">
        <v>3341</v>
      </c>
      <c r="H834" t="s">
        <v>17</v>
      </c>
      <c r="I834" t="s">
        <v>18</v>
      </c>
      <c r="J834" t="str">
        <f>"4382264679"</f>
        <v>4382264679</v>
      </c>
      <c r="K834" t="s">
        <v>3342</v>
      </c>
      <c r="L834" t="s">
        <v>534</v>
      </c>
      <c r="M834" t="s">
        <v>21</v>
      </c>
    </row>
    <row r="835" spans="1:13" x14ac:dyDescent="0.35">
      <c r="A835" t="str">
        <f>"219-3104"</f>
        <v>219-3104</v>
      </c>
      <c r="B835" t="s">
        <v>3343</v>
      </c>
      <c r="C835" t="str">
        <f>"6500"</f>
        <v>6500</v>
      </c>
      <c r="D835" t="str">
        <f>"6500"</f>
        <v>6500</v>
      </c>
      <c r="E835" t="s">
        <v>3344</v>
      </c>
      <c r="F835" t="s">
        <v>54</v>
      </c>
      <c r="G835" t="s">
        <v>3345</v>
      </c>
      <c r="H835" t="s">
        <v>17</v>
      </c>
      <c r="I835" t="s">
        <v>18</v>
      </c>
      <c r="J835" t="str">
        <f>"4383998204"</f>
        <v>4383998204</v>
      </c>
      <c r="K835" t="s">
        <v>3346</v>
      </c>
      <c r="L835" t="s">
        <v>168</v>
      </c>
      <c r="M835" t="s">
        <v>21</v>
      </c>
    </row>
    <row r="836" spans="1:13" x14ac:dyDescent="0.35">
      <c r="A836" t="str">
        <f>"229-1139"</f>
        <v>229-1139</v>
      </c>
      <c r="B836" t="s">
        <v>3347</v>
      </c>
      <c r="C836" t="str">
        <f>"8841"</f>
        <v>8841</v>
      </c>
      <c r="D836" t="str">
        <f>"5"</f>
        <v>5</v>
      </c>
      <c r="E836" t="s">
        <v>3348</v>
      </c>
      <c r="F836" t="s">
        <v>24</v>
      </c>
      <c r="G836" t="s">
        <v>3349</v>
      </c>
      <c r="H836" t="s">
        <v>17</v>
      </c>
      <c r="I836" t="s">
        <v>18</v>
      </c>
      <c r="J836" t="str">
        <f>"4388762171"</f>
        <v>4388762171</v>
      </c>
      <c r="K836" t="s">
        <v>3350</v>
      </c>
      <c r="L836" t="s">
        <v>2410</v>
      </c>
      <c r="M836" t="s">
        <v>21</v>
      </c>
    </row>
    <row r="837" spans="1:13" x14ac:dyDescent="0.35">
      <c r="A837" t="str">
        <f>"620-1889"</f>
        <v>620-1889</v>
      </c>
      <c r="B837" t="s">
        <v>3352</v>
      </c>
      <c r="C837" t="str">
        <f>"2552"</f>
        <v>2552</v>
      </c>
      <c r="D837" t="str">
        <f>"2"</f>
        <v>2</v>
      </c>
      <c r="E837" t="s">
        <v>286</v>
      </c>
      <c r="F837" t="s">
        <v>157</v>
      </c>
      <c r="G837" t="s">
        <v>3353</v>
      </c>
      <c r="H837" t="s">
        <v>17</v>
      </c>
      <c r="I837" t="s">
        <v>18</v>
      </c>
      <c r="J837" t="str">
        <f>"5145678665"</f>
        <v>5145678665</v>
      </c>
      <c r="K837" t="s">
        <v>3354</v>
      </c>
      <c r="L837" t="s">
        <v>220</v>
      </c>
      <c r="M837" t="s">
        <v>21</v>
      </c>
    </row>
    <row r="838" spans="1:13" x14ac:dyDescent="0.35">
      <c r="A838" t="str">
        <f>"620-2324"</f>
        <v>620-2324</v>
      </c>
      <c r="B838" t="s">
        <v>3355</v>
      </c>
      <c r="C838" t="str">
        <f>"6"</f>
        <v>6</v>
      </c>
      <c r="E838" t="s">
        <v>3356</v>
      </c>
      <c r="F838" t="s">
        <v>32</v>
      </c>
      <c r="G838" t="s">
        <v>3357</v>
      </c>
      <c r="H838" t="s">
        <v>17</v>
      </c>
      <c r="I838" t="s">
        <v>18</v>
      </c>
      <c r="J838" t="str">
        <f>"4388661617"</f>
        <v>4388661617</v>
      </c>
      <c r="K838" t="s">
        <v>3358</v>
      </c>
      <c r="L838" t="s">
        <v>76</v>
      </c>
      <c r="M838" t="s">
        <v>21</v>
      </c>
    </row>
    <row r="839" spans="1:13" x14ac:dyDescent="0.35">
      <c r="A839" t="str">
        <f>"156-9413"</f>
        <v>156-9413</v>
      </c>
      <c r="B839" t="s">
        <v>3359</v>
      </c>
      <c r="C839" t="str">
        <f>"6285"</f>
        <v>6285</v>
      </c>
      <c r="D839" t="str">
        <f>"12"</f>
        <v>12</v>
      </c>
      <c r="E839" t="s">
        <v>260</v>
      </c>
      <c r="F839" t="s">
        <v>24</v>
      </c>
      <c r="G839" t="s">
        <v>2063</v>
      </c>
      <c r="H839" t="s">
        <v>17</v>
      </c>
      <c r="I839" t="s">
        <v>18</v>
      </c>
      <c r="J839" t="str">
        <f>"5149846422"</f>
        <v>5149846422</v>
      </c>
      <c r="K839" t="s">
        <v>3360</v>
      </c>
      <c r="L839" t="s">
        <v>29</v>
      </c>
      <c r="M839" t="s">
        <v>21</v>
      </c>
    </row>
    <row r="840" spans="1:13" x14ac:dyDescent="0.35">
      <c r="A840" t="str">
        <f>"218-7399"</f>
        <v>218-7399</v>
      </c>
      <c r="B840" t="s">
        <v>3361</v>
      </c>
      <c r="C840" t="str">
        <f>"7122"</f>
        <v>7122</v>
      </c>
      <c r="D840" t="str">
        <f>"5"</f>
        <v>5</v>
      </c>
      <c r="E840" t="s">
        <v>3362</v>
      </c>
      <c r="F840" t="s">
        <v>24</v>
      </c>
      <c r="G840" t="s">
        <v>3028</v>
      </c>
      <c r="H840" t="s">
        <v>17</v>
      </c>
      <c r="I840" t="s">
        <v>18</v>
      </c>
      <c r="J840" t="str">
        <f>"5149221424"</f>
        <v>5149221424</v>
      </c>
      <c r="K840" t="s">
        <v>3363</v>
      </c>
      <c r="L840" t="s">
        <v>203</v>
      </c>
      <c r="M840" t="s">
        <v>21</v>
      </c>
    </row>
    <row r="841" spans="1:13" x14ac:dyDescent="0.35">
      <c r="A841" t="str">
        <f>"229-0825"</f>
        <v>229-0825</v>
      </c>
      <c r="B841" t="s">
        <v>3364</v>
      </c>
      <c r="C841" t="str">
        <f>"1070"</f>
        <v>1070</v>
      </c>
      <c r="D841" t="str">
        <f>"2"</f>
        <v>2</v>
      </c>
      <c r="E841" t="s">
        <v>3365</v>
      </c>
      <c r="F841" t="s">
        <v>866</v>
      </c>
      <c r="G841" t="s">
        <v>3366</v>
      </c>
      <c r="H841" t="s">
        <v>17</v>
      </c>
      <c r="I841" t="s">
        <v>18</v>
      </c>
      <c r="J841" t="str">
        <f>"5146513751"</f>
        <v>5146513751</v>
      </c>
      <c r="K841" t="s">
        <v>3367</v>
      </c>
      <c r="L841" t="s">
        <v>534</v>
      </c>
      <c r="M841" t="s">
        <v>21</v>
      </c>
    </row>
    <row r="842" spans="1:13" x14ac:dyDescent="0.35">
      <c r="A842" t="str">
        <f>"212-4607"</f>
        <v>212-4607</v>
      </c>
      <c r="B842" t="s">
        <v>3368</v>
      </c>
      <c r="C842" t="str">
        <f>"1695"</f>
        <v>1695</v>
      </c>
      <c r="E842" t="s">
        <v>3369</v>
      </c>
      <c r="F842" t="s">
        <v>1763</v>
      </c>
      <c r="G842" t="s">
        <v>3370</v>
      </c>
      <c r="H842" t="s">
        <v>17</v>
      </c>
      <c r="I842" t="s">
        <v>18</v>
      </c>
      <c r="J842" t="str">
        <f>"5148355404"</f>
        <v>5148355404</v>
      </c>
      <c r="K842" t="s">
        <v>3371</v>
      </c>
      <c r="L842" t="s">
        <v>76</v>
      </c>
      <c r="M842" t="s">
        <v>21</v>
      </c>
    </row>
    <row r="843" spans="1:13" x14ac:dyDescent="0.35">
      <c r="A843" t="str">
        <f>"184-2162"</f>
        <v>184-2162</v>
      </c>
      <c r="B843" t="s">
        <v>3372</v>
      </c>
      <c r="C843" t="str">
        <f>"900"</f>
        <v>900</v>
      </c>
      <c r="E843" t="s">
        <v>3373</v>
      </c>
      <c r="F843" t="s">
        <v>54</v>
      </c>
      <c r="G843" t="s">
        <v>3374</v>
      </c>
      <c r="H843" t="s">
        <v>17</v>
      </c>
      <c r="I843" t="s">
        <v>18</v>
      </c>
      <c r="J843" t="str">
        <f>"4509629805"</f>
        <v>4509629805</v>
      </c>
      <c r="K843" t="s">
        <v>3375</v>
      </c>
      <c r="L843" t="s">
        <v>76</v>
      </c>
      <c r="M843" t="s">
        <v>21</v>
      </c>
    </row>
    <row r="844" spans="1:13" x14ac:dyDescent="0.35">
      <c r="A844" t="str">
        <f>"208-6680"</f>
        <v>208-6680</v>
      </c>
      <c r="B844" t="s">
        <v>3376</v>
      </c>
      <c r="C844" t="str">
        <f>"7395"</f>
        <v>7395</v>
      </c>
      <c r="E844" t="s">
        <v>931</v>
      </c>
      <c r="F844" t="s">
        <v>24</v>
      </c>
      <c r="G844" t="s">
        <v>3377</v>
      </c>
      <c r="H844" t="s">
        <v>17</v>
      </c>
      <c r="I844" t="s">
        <v>18</v>
      </c>
      <c r="J844" t="str">
        <f>"4388089792"</f>
        <v>4388089792</v>
      </c>
      <c r="K844" t="s">
        <v>3378</v>
      </c>
      <c r="L844" t="s">
        <v>220</v>
      </c>
      <c r="M844" t="s">
        <v>21</v>
      </c>
    </row>
    <row r="845" spans="1:13" x14ac:dyDescent="0.35">
      <c r="A845" t="str">
        <f>"209-1523"</f>
        <v>209-1523</v>
      </c>
      <c r="B845" t="s">
        <v>3379</v>
      </c>
      <c r="C845" t="str">
        <f>"6419"</f>
        <v>6419</v>
      </c>
      <c r="E845" t="s">
        <v>3380</v>
      </c>
      <c r="F845" t="s">
        <v>24</v>
      </c>
      <c r="G845" t="s">
        <v>3381</v>
      </c>
      <c r="H845" t="s">
        <v>17</v>
      </c>
      <c r="I845" t="s">
        <v>18</v>
      </c>
      <c r="J845" t="str">
        <f>"4385062427"</f>
        <v>4385062427</v>
      </c>
      <c r="K845" t="s">
        <v>3382</v>
      </c>
      <c r="L845" t="s">
        <v>168</v>
      </c>
      <c r="M845" t="s">
        <v>21</v>
      </c>
    </row>
    <row r="846" spans="1:13" x14ac:dyDescent="0.35">
      <c r="A846" t="str">
        <f>"178-4026"</f>
        <v>178-4026</v>
      </c>
      <c r="B846" t="s">
        <v>3383</v>
      </c>
      <c r="C846" t="str">
        <f>"794"</f>
        <v>794</v>
      </c>
      <c r="E846" t="s">
        <v>3384</v>
      </c>
      <c r="F846" t="s">
        <v>54</v>
      </c>
      <c r="G846" t="s">
        <v>3385</v>
      </c>
      <c r="H846" t="s">
        <v>17</v>
      </c>
      <c r="I846" t="s">
        <v>18</v>
      </c>
      <c r="J846" t="str">
        <f>"4387643894"</f>
        <v>4387643894</v>
      </c>
      <c r="K846" t="s">
        <v>3386</v>
      </c>
      <c r="L846" t="s">
        <v>350</v>
      </c>
      <c r="M846" t="s">
        <v>21</v>
      </c>
    </row>
    <row r="847" spans="1:13" x14ac:dyDescent="0.35">
      <c r="A847" t="str">
        <f>"171-8612"</f>
        <v>171-8612</v>
      </c>
      <c r="B847" t="s">
        <v>3387</v>
      </c>
      <c r="C847" t="str">
        <f>"1295"</f>
        <v>1295</v>
      </c>
      <c r="D847" t="str">
        <f>"309"</f>
        <v>309</v>
      </c>
      <c r="E847" t="s">
        <v>2687</v>
      </c>
      <c r="F847" t="s">
        <v>24</v>
      </c>
      <c r="G847" t="s">
        <v>3388</v>
      </c>
      <c r="H847" t="s">
        <v>17</v>
      </c>
      <c r="I847" t="s">
        <v>18</v>
      </c>
      <c r="J847" t="str">
        <f>"5143789075"</f>
        <v>5143789075</v>
      </c>
      <c r="K847" t="s">
        <v>3389</v>
      </c>
      <c r="L847" t="s">
        <v>383</v>
      </c>
      <c r="M847" t="s">
        <v>21</v>
      </c>
    </row>
    <row r="848" spans="1:13" x14ac:dyDescent="0.35">
      <c r="A848" t="str">
        <f>"172-6819"</f>
        <v>172-6819</v>
      </c>
      <c r="B848" t="s">
        <v>3390</v>
      </c>
      <c r="C848" t="str">
        <f>"3857"</f>
        <v>3857</v>
      </c>
      <c r="E848" t="s">
        <v>3391</v>
      </c>
      <c r="F848" t="s">
        <v>2156</v>
      </c>
      <c r="G848" t="s">
        <v>3392</v>
      </c>
      <c r="H848" t="s">
        <v>17</v>
      </c>
      <c r="I848" t="s">
        <v>18</v>
      </c>
      <c r="J848" t="str">
        <f>"5147578668"</f>
        <v>5147578668</v>
      </c>
      <c r="K848" t="s">
        <v>3393</v>
      </c>
      <c r="L848" t="s">
        <v>39</v>
      </c>
      <c r="M848" t="s">
        <v>21</v>
      </c>
    </row>
    <row r="849" spans="1:13" x14ac:dyDescent="0.35">
      <c r="A849" t="str">
        <f>"178-4986"</f>
        <v>178-4986</v>
      </c>
      <c r="B849" t="s">
        <v>3395</v>
      </c>
      <c r="C849" t="str">
        <f>"335"</f>
        <v>335</v>
      </c>
      <c r="D849" t="str">
        <f>"608"</f>
        <v>608</v>
      </c>
      <c r="E849" t="s">
        <v>3396</v>
      </c>
      <c r="F849" t="s">
        <v>3397</v>
      </c>
      <c r="G849" t="s">
        <v>1980</v>
      </c>
      <c r="H849" t="s">
        <v>17</v>
      </c>
      <c r="I849" t="s">
        <v>18</v>
      </c>
      <c r="J849" t="str">
        <f>"4389947519"</f>
        <v>4389947519</v>
      </c>
      <c r="K849" t="s">
        <v>3398</v>
      </c>
      <c r="L849" t="s">
        <v>350</v>
      </c>
      <c r="M849" t="s">
        <v>21</v>
      </c>
    </row>
    <row r="850" spans="1:13" x14ac:dyDescent="0.35">
      <c r="A850" t="str">
        <f>"187-3818"</f>
        <v>187-3818</v>
      </c>
      <c r="B850" t="s">
        <v>3399</v>
      </c>
      <c r="C850" t="str">
        <f>"175"</f>
        <v>175</v>
      </c>
      <c r="D850" t="str">
        <f>"308"</f>
        <v>308</v>
      </c>
      <c r="E850" t="s">
        <v>577</v>
      </c>
      <c r="F850" t="s">
        <v>54</v>
      </c>
      <c r="G850" t="s">
        <v>3400</v>
      </c>
      <c r="H850" t="s">
        <v>17</v>
      </c>
      <c r="I850" t="s">
        <v>18</v>
      </c>
      <c r="J850" t="str">
        <f>"5146015374"</f>
        <v>5146015374</v>
      </c>
      <c r="K850" t="s">
        <v>3401</v>
      </c>
      <c r="L850" t="s">
        <v>350</v>
      </c>
      <c r="M850" t="s">
        <v>21</v>
      </c>
    </row>
    <row r="851" spans="1:13" x14ac:dyDescent="0.35">
      <c r="A851" t="str">
        <f>"197-5700"</f>
        <v>197-5700</v>
      </c>
      <c r="B851" t="s">
        <v>3402</v>
      </c>
      <c r="C851" t="str">
        <f>"6976"</f>
        <v>6976</v>
      </c>
      <c r="D851" t="str">
        <f>"3"</f>
        <v>3</v>
      </c>
      <c r="E851" t="s">
        <v>3403</v>
      </c>
      <c r="F851" t="s">
        <v>24</v>
      </c>
      <c r="G851" t="s">
        <v>3404</v>
      </c>
      <c r="H851" t="s">
        <v>17</v>
      </c>
      <c r="I851" t="s">
        <v>18</v>
      </c>
      <c r="J851" t="str">
        <f>"5142982729"</f>
        <v>5142982729</v>
      </c>
      <c r="K851" t="s">
        <v>3405</v>
      </c>
      <c r="L851" t="s">
        <v>76</v>
      </c>
      <c r="M851" t="s">
        <v>21</v>
      </c>
    </row>
    <row r="852" spans="1:13" x14ac:dyDescent="0.35">
      <c r="A852" t="str">
        <f>"201-8180"</f>
        <v>201-8180</v>
      </c>
      <c r="B852" t="s">
        <v>3406</v>
      </c>
      <c r="C852" t="str">
        <f>"223"</f>
        <v>223</v>
      </c>
      <c r="E852" t="s">
        <v>3407</v>
      </c>
      <c r="F852" t="s">
        <v>54</v>
      </c>
      <c r="G852" t="s">
        <v>3408</v>
      </c>
      <c r="H852" t="s">
        <v>17</v>
      </c>
      <c r="I852" t="s">
        <v>18</v>
      </c>
      <c r="J852" t="str">
        <f>"4386864868"</f>
        <v>4386864868</v>
      </c>
      <c r="K852" t="s">
        <v>3409</v>
      </c>
      <c r="L852" t="s">
        <v>76</v>
      </c>
      <c r="M852" t="s">
        <v>21</v>
      </c>
    </row>
    <row r="853" spans="1:13" x14ac:dyDescent="0.35">
      <c r="A853" t="str">
        <f>"203-7014"</f>
        <v>203-7014</v>
      </c>
      <c r="B853" t="s">
        <v>3410</v>
      </c>
      <c r="C853" t="str">
        <f>"1930"</f>
        <v>1930</v>
      </c>
      <c r="E853" t="s">
        <v>3411</v>
      </c>
      <c r="F853" t="s">
        <v>3397</v>
      </c>
      <c r="G853" t="s">
        <v>3412</v>
      </c>
      <c r="H853" t="s">
        <v>17</v>
      </c>
      <c r="I853" t="s">
        <v>18</v>
      </c>
      <c r="J853" t="str">
        <f>"5149517279"</f>
        <v>5149517279</v>
      </c>
      <c r="K853" t="s">
        <v>3413</v>
      </c>
      <c r="L853" t="s">
        <v>76</v>
      </c>
      <c r="M853" t="s">
        <v>21</v>
      </c>
    </row>
    <row r="854" spans="1:13" x14ac:dyDescent="0.35">
      <c r="A854" t="str">
        <f>"205-0927"</f>
        <v>205-0927</v>
      </c>
      <c r="B854" t="s">
        <v>3414</v>
      </c>
      <c r="C854" t="str">
        <f>"1252"</f>
        <v>1252</v>
      </c>
      <c r="E854" t="s">
        <v>3415</v>
      </c>
      <c r="F854" t="s">
        <v>54</v>
      </c>
      <c r="G854" t="s">
        <v>3416</v>
      </c>
      <c r="H854" t="s">
        <v>17</v>
      </c>
      <c r="I854" t="s">
        <v>18</v>
      </c>
      <c r="J854" t="str">
        <f>"5147546020"</f>
        <v>5147546020</v>
      </c>
      <c r="K854" t="s">
        <v>3417</v>
      </c>
      <c r="L854" t="s">
        <v>76</v>
      </c>
      <c r="M854" t="s">
        <v>21</v>
      </c>
    </row>
    <row r="855" spans="1:13" x14ac:dyDescent="0.35">
      <c r="A855" t="str">
        <f>"205-5626"</f>
        <v>205-5626</v>
      </c>
      <c r="B855" t="s">
        <v>3418</v>
      </c>
      <c r="C855" t="str">
        <f>"65"</f>
        <v>65</v>
      </c>
      <c r="D855" t="str">
        <f>"6"</f>
        <v>6</v>
      </c>
      <c r="E855" t="s">
        <v>364</v>
      </c>
      <c r="F855" t="s">
        <v>1175</v>
      </c>
      <c r="G855" t="s">
        <v>3419</v>
      </c>
      <c r="H855" t="s">
        <v>17</v>
      </c>
      <c r="I855" t="s">
        <v>18</v>
      </c>
      <c r="J855" t="str">
        <f>"5142443534"</f>
        <v>5142443534</v>
      </c>
      <c r="K855" t="s">
        <v>3420</v>
      </c>
      <c r="L855" t="s">
        <v>39</v>
      </c>
      <c r="M855" t="s">
        <v>21</v>
      </c>
    </row>
    <row r="856" spans="1:13" x14ac:dyDescent="0.35">
      <c r="A856" t="str">
        <f>"207-8921"</f>
        <v>207-8921</v>
      </c>
      <c r="B856" t="s">
        <v>3421</v>
      </c>
      <c r="C856" t="str">
        <f>"8350"</f>
        <v>8350</v>
      </c>
      <c r="E856" t="s">
        <v>1791</v>
      </c>
      <c r="F856" t="s">
        <v>24</v>
      </c>
      <c r="G856" t="s">
        <v>1792</v>
      </c>
      <c r="H856" t="s">
        <v>17</v>
      </c>
      <c r="I856" t="s">
        <v>18</v>
      </c>
      <c r="J856" t="str">
        <f>"5144582578"</f>
        <v>5144582578</v>
      </c>
      <c r="K856" t="s">
        <v>3422</v>
      </c>
      <c r="L856" t="s">
        <v>396</v>
      </c>
      <c r="M856" t="s">
        <v>21</v>
      </c>
    </row>
    <row r="857" spans="1:13" x14ac:dyDescent="0.35">
      <c r="A857" t="str">
        <f>"213-3118"</f>
        <v>213-3118</v>
      </c>
      <c r="B857" t="s">
        <v>3423</v>
      </c>
      <c r="C857" t="str">
        <f>"148"</f>
        <v>148</v>
      </c>
      <c r="E857" t="s">
        <v>3424</v>
      </c>
      <c r="F857" t="s">
        <v>2148</v>
      </c>
      <c r="G857" t="s">
        <v>3425</v>
      </c>
      <c r="H857" t="s">
        <v>17</v>
      </c>
      <c r="I857" t="s">
        <v>18</v>
      </c>
      <c r="J857" t="str">
        <f>"4388306790"</f>
        <v>4388306790</v>
      </c>
      <c r="K857" t="s">
        <v>3426</v>
      </c>
      <c r="L857" t="s">
        <v>39</v>
      </c>
      <c r="M857" t="s">
        <v>21</v>
      </c>
    </row>
    <row r="858" spans="1:13" x14ac:dyDescent="0.35">
      <c r="A858" t="str">
        <f>"216-1843"</f>
        <v>216-1843</v>
      </c>
      <c r="B858" t="s">
        <v>3427</v>
      </c>
      <c r="C858" t="str">
        <f>"5094"</f>
        <v>5094</v>
      </c>
      <c r="E858" t="s">
        <v>3428</v>
      </c>
      <c r="F858" t="s">
        <v>24</v>
      </c>
      <c r="G858" t="s">
        <v>3429</v>
      </c>
      <c r="H858" t="s">
        <v>17</v>
      </c>
      <c r="I858" t="s">
        <v>18</v>
      </c>
      <c r="J858" t="str">
        <f>"4383950268"</f>
        <v>4383950268</v>
      </c>
      <c r="K858" t="s">
        <v>3430</v>
      </c>
      <c r="L858" t="s">
        <v>383</v>
      </c>
      <c r="M858" t="s">
        <v>21</v>
      </c>
    </row>
    <row r="859" spans="1:13" x14ac:dyDescent="0.35">
      <c r="A859" t="str">
        <f>"217-2497"</f>
        <v>217-2497</v>
      </c>
      <c r="B859" t="s">
        <v>3431</v>
      </c>
      <c r="C859" t="str">
        <f>"6364"</f>
        <v>6364</v>
      </c>
      <c r="E859" t="s">
        <v>1352</v>
      </c>
      <c r="F859" t="s">
        <v>24</v>
      </c>
      <c r="G859" t="s">
        <v>3432</v>
      </c>
      <c r="H859" t="s">
        <v>17</v>
      </c>
      <c r="I859" t="s">
        <v>18</v>
      </c>
      <c r="J859" t="str">
        <f>"5148259622"</f>
        <v>5148259622</v>
      </c>
      <c r="K859" t="s">
        <v>3433</v>
      </c>
      <c r="L859" t="s">
        <v>874</v>
      </c>
      <c r="M859" t="s">
        <v>21</v>
      </c>
    </row>
    <row r="860" spans="1:13" x14ac:dyDescent="0.35">
      <c r="A860" t="str">
        <f>"217-4102"</f>
        <v>217-4102</v>
      </c>
      <c r="B860" t="s">
        <v>3434</v>
      </c>
      <c r="C860" t="str">
        <f>"64"</f>
        <v>64</v>
      </c>
      <c r="E860" t="s">
        <v>3435</v>
      </c>
      <c r="F860" t="s">
        <v>32</v>
      </c>
      <c r="G860" t="s">
        <v>3436</v>
      </c>
      <c r="H860" t="s">
        <v>17</v>
      </c>
      <c r="I860" t="s">
        <v>18</v>
      </c>
      <c r="J860" t="str">
        <f>"5142340071"</f>
        <v>5142340071</v>
      </c>
      <c r="K860" t="s">
        <v>3437</v>
      </c>
      <c r="L860" t="s">
        <v>350</v>
      </c>
      <c r="M860" t="s">
        <v>21</v>
      </c>
    </row>
    <row r="861" spans="1:13" x14ac:dyDescent="0.35">
      <c r="A861" t="str">
        <f>"217-5280"</f>
        <v>217-5280</v>
      </c>
      <c r="B861" t="s">
        <v>3438</v>
      </c>
      <c r="C861" t="str">
        <f>"9310"</f>
        <v>9310</v>
      </c>
      <c r="E861" t="s">
        <v>3439</v>
      </c>
      <c r="F861" t="s">
        <v>24</v>
      </c>
      <c r="G861" t="s">
        <v>3440</v>
      </c>
      <c r="H861" t="s">
        <v>17</v>
      </c>
      <c r="I861" t="s">
        <v>18</v>
      </c>
      <c r="J861" t="str">
        <f>"4384082423"</f>
        <v>4384082423</v>
      </c>
      <c r="K861" t="s">
        <v>3441</v>
      </c>
      <c r="L861" t="s">
        <v>76</v>
      </c>
      <c r="M861" t="s">
        <v>21</v>
      </c>
    </row>
    <row r="862" spans="1:13" x14ac:dyDescent="0.35">
      <c r="A862" t="str">
        <f>"217-6712"</f>
        <v>217-6712</v>
      </c>
      <c r="B862" t="s">
        <v>3442</v>
      </c>
      <c r="C862" t="str">
        <f>"4397"</f>
        <v>4397</v>
      </c>
      <c r="D862" t="str">
        <f>"2"</f>
        <v>2</v>
      </c>
      <c r="E862" t="s">
        <v>3443</v>
      </c>
      <c r="F862" t="s">
        <v>24</v>
      </c>
      <c r="G862" t="s">
        <v>3444</v>
      </c>
      <c r="H862" t="s">
        <v>17</v>
      </c>
      <c r="I862" t="s">
        <v>18</v>
      </c>
      <c r="J862" t="str">
        <f>"4385405126"</f>
        <v>4385405126</v>
      </c>
      <c r="K862" t="s">
        <v>3445</v>
      </c>
      <c r="L862" t="s">
        <v>76</v>
      </c>
      <c r="M862" t="s">
        <v>21</v>
      </c>
    </row>
    <row r="863" spans="1:13" x14ac:dyDescent="0.35">
      <c r="A863" t="str">
        <f>"217-9723"</f>
        <v>217-9723</v>
      </c>
      <c r="B863" t="s">
        <v>3446</v>
      </c>
      <c r="C863" t="str">
        <f>"10891"</f>
        <v>10891</v>
      </c>
      <c r="E863" t="s">
        <v>1396</v>
      </c>
      <c r="F863" t="s">
        <v>24</v>
      </c>
      <c r="G863" t="s">
        <v>2964</v>
      </c>
      <c r="H863" t="s">
        <v>17</v>
      </c>
      <c r="I863" t="s">
        <v>18</v>
      </c>
      <c r="J863" t="str">
        <f>"5144480684"</f>
        <v>5144480684</v>
      </c>
      <c r="K863" t="s">
        <v>3447</v>
      </c>
      <c r="L863" t="s">
        <v>86</v>
      </c>
      <c r="M863" t="s">
        <v>21</v>
      </c>
    </row>
    <row r="864" spans="1:13" x14ac:dyDescent="0.35">
      <c r="A864" t="str">
        <f>"223-3802"</f>
        <v>223-3802</v>
      </c>
      <c r="B864" t="s">
        <v>3448</v>
      </c>
      <c r="C864" t="str">
        <f>"12620"</f>
        <v>12620</v>
      </c>
      <c r="D864" t="str">
        <f>"8"</f>
        <v>8</v>
      </c>
      <c r="E864" t="s">
        <v>1030</v>
      </c>
      <c r="F864" t="s">
        <v>24</v>
      </c>
      <c r="G864" t="s">
        <v>3449</v>
      </c>
      <c r="H864" t="s">
        <v>17</v>
      </c>
      <c r="I864" t="s">
        <v>18</v>
      </c>
      <c r="J864" t="str">
        <f>"4389277049"</f>
        <v>4389277049</v>
      </c>
      <c r="K864" t="s">
        <v>3450</v>
      </c>
      <c r="L864" t="s">
        <v>27</v>
      </c>
      <c r="M864" t="s">
        <v>21</v>
      </c>
    </row>
    <row r="865" spans="1:13" x14ac:dyDescent="0.35">
      <c r="A865" t="str">
        <f>"223-4657"</f>
        <v>223-4657</v>
      </c>
      <c r="B865" t="s">
        <v>3451</v>
      </c>
      <c r="C865" t="str">
        <f>"5564"</f>
        <v>5564</v>
      </c>
      <c r="E865" t="s">
        <v>3452</v>
      </c>
      <c r="F865" t="s">
        <v>24</v>
      </c>
      <c r="G865" t="s">
        <v>3453</v>
      </c>
      <c r="H865" t="s">
        <v>17</v>
      </c>
      <c r="I865" t="s">
        <v>18</v>
      </c>
      <c r="J865" t="str">
        <f>"5144098444"</f>
        <v>5144098444</v>
      </c>
      <c r="K865" t="s">
        <v>3454</v>
      </c>
      <c r="L865" t="s">
        <v>396</v>
      </c>
      <c r="M865" t="s">
        <v>21</v>
      </c>
    </row>
    <row r="866" spans="1:13" x14ac:dyDescent="0.35">
      <c r="A866" t="str">
        <f>"223-4758"</f>
        <v>223-4758</v>
      </c>
      <c r="B866" t="s">
        <v>3455</v>
      </c>
      <c r="C866" t="str">
        <f>"1094"</f>
        <v>1094</v>
      </c>
      <c r="E866" t="s">
        <v>3456</v>
      </c>
      <c r="F866" t="s">
        <v>143</v>
      </c>
      <c r="G866" t="s">
        <v>3457</v>
      </c>
      <c r="H866" t="s">
        <v>17</v>
      </c>
      <c r="I866" t="s">
        <v>18</v>
      </c>
      <c r="J866" t="str">
        <f>"4382829977"</f>
        <v>4382829977</v>
      </c>
      <c r="K866" t="s">
        <v>3458</v>
      </c>
      <c r="L866" t="s">
        <v>76</v>
      </c>
      <c r="M866" t="s">
        <v>21</v>
      </c>
    </row>
    <row r="867" spans="1:13" x14ac:dyDescent="0.35">
      <c r="A867" t="str">
        <f>"225-0512"</f>
        <v>225-0512</v>
      </c>
      <c r="B867" t="s">
        <v>3461</v>
      </c>
      <c r="C867" t="str">
        <f>"1143"</f>
        <v>1143</v>
      </c>
      <c r="E867" t="s">
        <v>3462</v>
      </c>
      <c r="F867" t="s">
        <v>54</v>
      </c>
      <c r="G867" t="s">
        <v>3463</v>
      </c>
      <c r="H867" t="s">
        <v>17</v>
      </c>
      <c r="I867" t="s">
        <v>18</v>
      </c>
      <c r="J867" t="str">
        <f>"4385061635"</f>
        <v>4385061635</v>
      </c>
      <c r="K867" t="s">
        <v>3464</v>
      </c>
      <c r="L867" t="s">
        <v>76</v>
      </c>
      <c r="M867" t="s">
        <v>21</v>
      </c>
    </row>
    <row r="868" spans="1:13" x14ac:dyDescent="0.35">
      <c r="A868" t="str">
        <f>"225-3845"</f>
        <v>225-3845</v>
      </c>
      <c r="B868" t="s">
        <v>3465</v>
      </c>
      <c r="C868" t="str">
        <f>"5284"</f>
        <v>5284</v>
      </c>
      <c r="E868" t="s">
        <v>3466</v>
      </c>
      <c r="F868" t="s">
        <v>24</v>
      </c>
      <c r="G868" t="s">
        <v>3467</v>
      </c>
      <c r="H868" t="s">
        <v>17</v>
      </c>
      <c r="I868" t="s">
        <v>18</v>
      </c>
      <c r="J868" t="str">
        <f>"4389300751"</f>
        <v>4389300751</v>
      </c>
      <c r="K868" t="s">
        <v>3468</v>
      </c>
      <c r="L868" t="s">
        <v>76</v>
      </c>
      <c r="M868" t="s">
        <v>21</v>
      </c>
    </row>
    <row r="869" spans="1:13" x14ac:dyDescent="0.35">
      <c r="A869" t="str">
        <f>"225-9427"</f>
        <v>225-9427</v>
      </c>
      <c r="B869" t="s">
        <v>3469</v>
      </c>
      <c r="C869" t="str">
        <f>"8659"</f>
        <v>8659</v>
      </c>
      <c r="D869" t="str">
        <f>"6"</f>
        <v>6</v>
      </c>
      <c r="E869" t="s">
        <v>3470</v>
      </c>
      <c r="F869" t="s">
        <v>24</v>
      </c>
      <c r="G869" t="s">
        <v>3471</v>
      </c>
      <c r="H869" t="s">
        <v>17</v>
      </c>
      <c r="I869" t="s">
        <v>18</v>
      </c>
      <c r="J869" t="str">
        <f>"4384905479"</f>
        <v>4384905479</v>
      </c>
      <c r="K869" t="s">
        <v>3472</v>
      </c>
      <c r="L869" t="s">
        <v>76</v>
      </c>
      <c r="M869" t="s">
        <v>21</v>
      </c>
    </row>
    <row r="870" spans="1:13" x14ac:dyDescent="0.35">
      <c r="A870" t="str">
        <f>"225-9956"</f>
        <v>225-9956</v>
      </c>
      <c r="B870" t="s">
        <v>3473</v>
      </c>
      <c r="C870" t="str">
        <f>"2512"</f>
        <v>2512</v>
      </c>
      <c r="E870" t="s">
        <v>3474</v>
      </c>
      <c r="F870" t="s">
        <v>24</v>
      </c>
      <c r="G870" t="s">
        <v>3475</v>
      </c>
      <c r="H870" t="s">
        <v>17</v>
      </c>
      <c r="I870" t="s">
        <v>18</v>
      </c>
      <c r="J870" t="str">
        <f>"5146236697"</f>
        <v>5146236697</v>
      </c>
      <c r="K870" t="s">
        <v>3476</v>
      </c>
      <c r="L870" t="s">
        <v>76</v>
      </c>
      <c r="M870" t="s">
        <v>21</v>
      </c>
    </row>
    <row r="871" spans="1:13" x14ac:dyDescent="0.35">
      <c r="A871" t="str">
        <f>"226-1289"</f>
        <v>226-1289</v>
      </c>
      <c r="B871" t="s">
        <v>3477</v>
      </c>
      <c r="C871" t="str">
        <f>"7665"</f>
        <v>7665</v>
      </c>
      <c r="D871" t="str">
        <f>"1"</f>
        <v>1</v>
      </c>
      <c r="E871" t="s">
        <v>1892</v>
      </c>
      <c r="F871" t="s">
        <v>40</v>
      </c>
      <c r="G871" t="s">
        <v>3478</v>
      </c>
      <c r="H871" t="s">
        <v>17</v>
      </c>
      <c r="I871" t="s">
        <v>18</v>
      </c>
      <c r="J871" t="str">
        <f>"4388552605"</f>
        <v>4388552605</v>
      </c>
      <c r="K871" t="s">
        <v>3479</v>
      </c>
      <c r="L871" t="s">
        <v>76</v>
      </c>
      <c r="M871" t="s">
        <v>21</v>
      </c>
    </row>
    <row r="872" spans="1:13" x14ac:dyDescent="0.35">
      <c r="A872" t="str">
        <f>"227-3206"</f>
        <v>227-3206</v>
      </c>
      <c r="B872" t="s">
        <v>3480</v>
      </c>
      <c r="C872" t="str">
        <f>"7285"</f>
        <v>7285</v>
      </c>
      <c r="E872" t="s">
        <v>3481</v>
      </c>
      <c r="F872" t="s">
        <v>54</v>
      </c>
      <c r="G872" t="s">
        <v>3482</v>
      </c>
      <c r="H872" t="s">
        <v>17</v>
      </c>
      <c r="I872" t="s">
        <v>18</v>
      </c>
      <c r="J872" t="str">
        <f>"5145696767"</f>
        <v>5145696767</v>
      </c>
      <c r="K872" t="s">
        <v>3483</v>
      </c>
      <c r="L872" t="s">
        <v>396</v>
      </c>
      <c r="M872" t="s">
        <v>21</v>
      </c>
    </row>
    <row r="873" spans="1:13" x14ac:dyDescent="0.35">
      <c r="A873" t="str">
        <f>"227-6828"</f>
        <v>227-6828</v>
      </c>
      <c r="B873" t="s">
        <v>3484</v>
      </c>
      <c r="C873" t="str">
        <f>"12379"</f>
        <v>12379</v>
      </c>
      <c r="D873" t="str">
        <f>"6"</f>
        <v>6</v>
      </c>
      <c r="E873" t="s">
        <v>3485</v>
      </c>
      <c r="F873" t="s">
        <v>40</v>
      </c>
      <c r="G873" t="s">
        <v>3486</v>
      </c>
      <c r="H873" t="s">
        <v>17</v>
      </c>
      <c r="I873" t="s">
        <v>18</v>
      </c>
      <c r="J873" t="str">
        <f>"5145536242"</f>
        <v>5145536242</v>
      </c>
      <c r="K873" t="s">
        <v>3487</v>
      </c>
      <c r="L873" t="s">
        <v>203</v>
      </c>
      <c r="M873" t="s">
        <v>21</v>
      </c>
    </row>
    <row r="874" spans="1:13" x14ac:dyDescent="0.35">
      <c r="A874" t="str">
        <f>"227-8634"</f>
        <v>227-8634</v>
      </c>
      <c r="B874" t="s">
        <v>3488</v>
      </c>
      <c r="C874" t="str">
        <f>"818"</f>
        <v>818</v>
      </c>
      <c r="E874" t="s">
        <v>3489</v>
      </c>
      <c r="F874" t="s">
        <v>32</v>
      </c>
      <c r="G874" t="s">
        <v>3490</v>
      </c>
      <c r="H874" t="s">
        <v>17</v>
      </c>
      <c r="I874" t="s">
        <v>18</v>
      </c>
      <c r="J874" t="str">
        <f>"5146512644"</f>
        <v>5146512644</v>
      </c>
      <c r="K874" t="s">
        <v>3491</v>
      </c>
      <c r="L874" t="s">
        <v>534</v>
      </c>
      <c r="M874" t="s">
        <v>21</v>
      </c>
    </row>
    <row r="875" spans="1:13" x14ac:dyDescent="0.35">
      <c r="A875" t="str">
        <f>"228-7242"</f>
        <v>228-7242</v>
      </c>
      <c r="B875" t="s">
        <v>3492</v>
      </c>
      <c r="C875" t="str">
        <f>"6000"</f>
        <v>6000</v>
      </c>
      <c r="D875" t="str">
        <f>"1"</f>
        <v>1</v>
      </c>
      <c r="E875" t="s">
        <v>3493</v>
      </c>
      <c r="F875" t="s">
        <v>24</v>
      </c>
      <c r="G875" t="s">
        <v>3494</v>
      </c>
      <c r="H875" t="s">
        <v>17</v>
      </c>
      <c r="I875" t="s">
        <v>18</v>
      </c>
      <c r="J875" t="str">
        <f>"4389210821"</f>
        <v>4389210821</v>
      </c>
      <c r="K875" t="s">
        <v>3495</v>
      </c>
      <c r="L875" t="s">
        <v>137</v>
      </c>
      <c r="M875" t="s">
        <v>21</v>
      </c>
    </row>
    <row r="876" spans="1:13" x14ac:dyDescent="0.35">
      <c r="A876" t="str">
        <f>"228-7951"</f>
        <v>228-7951</v>
      </c>
      <c r="B876" t="s">
        <v>3496</v>
      </c>
      <c r="C876" t="str">
        <f>"4830"</f>
        <v>4830</v>
      </c>
      <c r="E876" t="s">
        <v>3497</v>
      </c>
      <c r="F876" t="s">
        <v>24</v>
      </c>
      <c r="G876" t="s">
        <v>3498</v>
      </c>
      <c r="H876" t="s">
        <v>17</v>
      </c>
      <c r="I876" t="s">
        <v>18</v>
      </c>
      <c r="J876" t="str">
        <f>"4384109445"</f>
        <v>4384109445</v>
      </c>
      <c r="K876" t="s">
        <v>3499</v>
      </c>
      <c r="L876" t="s">
        <v>168</v>
      </c>
      <c r="M876" t="s">
        <v>21</v>
      </c>
    </row>
    <row r="877" spans="1:13" x14ac:dyDescent="0.35">
      <c r="A877" t="str">
        <f>"229-3975"</f>
        <v>229-3975</v>
      </c>
      <c r="B877" t="s">
        <v>3500</v>
      </c>
      <c r="C877" t="str">
        <f>"4605"</f>
        <v>4605</v>
      </c>
      <c r="D877" t="str">
        <f>"4605"</f>
        <v>4605</v>
      </c>
      <c r="E877" t="s">
        <v>3501</v>
      </c>
      <c r="F877" t="s">
        <v>1332</v>
      </c>
      <c r="G877" t="s">
        <v>3502</v>
      </c>
      <c r="H877" t="s">
        <v>17</v>
      </c>
      <c r="I877" t="s">
        <v>18</v>
      </c>
      <c r="J877" t="str">
        <f>"4389926587"</f>
        <v>4389926587</v>
      </c>
      <c r="K877" t="s">
        <v>3503</v>
      </c>
      <c r="L877" t="s">
        <v>86</v>
      </c>
      <c r="M877" t="s">
        <v>21</v>
      </c>
    </row>
    <row r="878" spans="1:13" x14ac:dyDescent="0.35">
      <c r="A878" t="str">
        <f>"619-4335"</f>
        <v>619-4335</v>
      </c>
      <c r="B878" t="s">
        <v>3504</v>
      </c>
      <c r="C878" t="str">
        <f>"6775"</f>
        <v>6775</v>
      </c>
      <c r="D878" t="str">
        <f>"3"</f>
        <v>3</v>
      </c>
      <c r="E878" t="s">
        <v>3505</v>
      </c>
      <c r="F878" t="s">
        <v>24</v>
      </c>
      <c r="G878" t="s">
        <v>2778</v>
      </c>
      <c r="H878" t="s">
        <v>17</v>
      </c>
      <c r="I878" t="s">
        <v>18</v>
      </c>
      <c r="J878" t="str">
        <f>"5147145178"</f>
        <v>5147145178</v>
      </c>
      <c r="K878" t="s">
        <v>3506</v>
      </c>
      <c r="L878" t="s">
        <v>193</v>
      </c>
      <c r="M878" t="s">
        <v>21</v>
      </c>
    </row>
    <row r="879" spans="1:13" x14ac:dyDescent="0.35">
      <c r="A879" t="str">
        <f>"619-5891"</f>
        <v>619-5891</v>
      </c>
      <c r="B879" t="s">
        <v>3507</v>
      </c>
      <c r="C879" t="str">
        <f>"3625"</f>
        <v>3625</v>
      </c>
      <c r="E879" t="s">
        <v>3508</v>
      </c>
      <c r="F879" t="s">
        <v>322</v>
      </c>
      <c r="G879" t="s">
        <v>3509</v>
      </c>
      <c r="H879" t="s">
        <v>17</v>
      </c>
      <c r="I879" t="s">
        <v>18</v>
      </c>
      <c r="J879" t="str">
        <f>"5146559875"</f>
        <v>5146559875</v>
      </c>
      <c r="K879" t="s">
        <v>3510</v>
      </c>
      <c r="L879" t="s">
        <v>869</v>
      </c>
      <c r="M879" t="s">
        <v>21</v>
      </c>
    </row>
    <row r="880" spans="1:13" x14ac:dyDescent="0.35">
      <c r="A880" t="str">
        <f>"620-3939"</f>
        <v>620-3939</v>
      </c>
      <c r="B880" t="s">
        <v>3511</v>
      </c>
      <c r="C880" t="str">
        <f>"4560"</f>
        <v>4560</v>
      </c>
      <c r="E880" t="s">
        <v>3512</v>
      </c>
      <c r="F880" t="s">
        <v>24</v>
      </c>
      <c r="G880" t="s">
        <v>3513</v>
      </c>
      <c r="H880" t="s">
        <v>17</v>
      </c>
      <c r="I880" t="s">
        <v>18</v>
      </c>
      <c r="J880" t="str">
        <f>"4384839779"</f>
        <v>4384839779</v>
      </c>
      <c r="K880" t="s">
        <v>3514</v>
      </c>
      <c r="L880" t="s">
        <v>27</v>
      </c>
      <c r="M880" t="s">
        <v>21</v>
      </c>
    </row>
    <row r="881" spans="1:13" x14ac:dyDescent="0.35">
      <c r="A881" t="str">
        <f>"620-4569"</f>
        <v>620-4569</v>
      </c>
      <c r="B881" t="s">
        <v>3515</v>
      </c>
      <c r="C881" t="str">
        <f>"5275"</f>
        <v>5275</v>
      </c>
      <c r="D881" t="str">
        <f>"15"</f>
        <v>15</v>
      </c>
      <c r="E881" t="s">
        <v>3516</v>
      </c>
      <c r="F881" t="s">
        <v>40</v>
      </c>
      <c r="G881" t="s">
        <v>3517</v>
      </c>
      <c r="H881" t="s">
        <v>17</v>
      </c>
      <c r="I881" t="s">
        <v>18</v>
      </c>
      <c r="J881" t="str">
        <f>"5142108304"</f>
        <v>5142108304</v>
      </c>
      <c r="K881" t="s">
        <v>3518</v>
      </c>
      <c r="L881" t="s">
        <v>168</v>
      </c>
      <c r="M881" t="s">
        <v>21</v>
      </c>
    </row>
    <row r="882" spans="1:13" x14ac:dyDescent="0.35">
      <c r="A882" t="str">
        <f>"620-6554"</f>
        <v>620-6554</v>
      </c>
      <c r="B882" t="s">
        <v>3519</v>
      </c>
      <c r="C882" t="str">
        <f>"3940"</f>
        <v>3940</v>
      </c>
      <c r="D882" t="str">
        <f>"6"</f>
        <v>6</v>
      </c>
      <c r="E882" t="s">
        <v>3056</v>
      </c>
      <c r="F882" t="s">
        <v>24</v>
      </c>
      <c r="G882" t="s">
        <v>3520</v>
      </c>
      <c r="H882" t="s">
        <v>17</v>
      </c>
      <c r="I882" t="s">
        <v>18</v>
      </c>
      <c r="J882" t="str">
        <f>"4388828201"</f>
        <v>4388828201</v>
      </c>
      <c r="K882" t="s">
        <v>3521</v>
      </c>
      <c r="L882" t="s">
        <v>86</v>
      </c>
      <c r="M882" t="s">
        <v>21</v>
      </c>
    </row>
    <row r="883" spans="1:13" x14ac:dyDescent="0.35">
      <c r="A883" t="str">
        <f>"620-7033"</f>
        <v>620-7033</v>
      </c>
      <c r="B883" t="s">
        <v>3522</v>
      </c>
      <c r="C883" t="str">
        <f>"8360"</f>
        <v>8360</v>
      </c>
      <c r="E883" t="s">
        <v>3523</v>
      </c>
      <c r="F883" t="s">
        <v>24</v>
      </c>
      <c r="G883" t="s">
        <v>3524</v>
      </c>
      <c r="H883" t="s">
        <v>17</v>
      </c>
      <c r="I883" t="s">
        <v>18</v>
      </c>
      <c r="J883" t="str">
        <f>"4389210907"</f>
        <v>4389210907</v>
      </c>
      <c r="K883" t="s">
        <v>3525</v>
      </c>
      <c r="L883" t="s">
        <v>27</v>
      </c>
      <c r="M883" t="s">
        <v>21</v>
      </c>
    </row>
    <row r="884" spans="1:13" x14ac:dyDescent="0.35">
      <c r="A884" t="str">
        <f>"620-7125"</f>
        <v>620-7125</v>
      </c>
      <c r="B884" t="s">
        <v>3526</v>
      </c>
      <c r="C884" t="str">
        <f>"500"</f>
        <v>500</v>
      </c>
      <c r="D884" t="str">
        <f>"413"</f>
        <v>413</v>
      </c>
      <c r="E884" t="s">
        <v>3527</v>
      </c>
      <c r="F884" t="s">
        <v>24</v>
      </c>
      <c r="G884" t="s">
        <v>3528</v>
      </c>
      <c r="H884" t="s">
        <v>17</v>
      </c>
      <c r="I884" t="s">
        <v>18</v>
      </c>
      <c r="J884" t="str">
        <f>"4387259497"</f>
        <v>4387259497</v>
      </c>
      <c r="K884" t="s">
        <v>3529</v>
      </c>
      <c r="L884" t="s">
        <v>319</v>
      </c>
      <c r="M884" t="s">
        <v>21</v>
      </c>
    </row>
    <row r="885" spans="1:13" x14ac:dyDescent="0.35">
      <c r="A885" t="str">
        <f>"620-7258"</f>
        <v>620-7258</v>
      </c>
      <c r="B885" t="s">
        <v>3530</v>
      </c>
      <c r="C885" t="str">
        <f>"7051"</f>
        <v>7051</v>
      </c>
      <c r="D885" t="str">
        <f>"310"</f>
        <v>310</v>
      </c>
      <c r="E885" t="s">
        <v>3531</v>
      </c>
      <c r="F885" t="s">
        <v>2187</v>
      </c>
      <c r="G885" t="s">
        <v>3532</v>
      </c>
      <c r="H885" t="s">
        <v>17</v>
      </c>
      <c r="I885" t="s">
        <v>18</v>
      </c>
      <c r="J885" t="str">
        <f>"5147938960"</f>
        <v>5147938960</v>
      </c>
      <c r="K885" t="s">
        <v>3533</v>
      </c>
      <c r="L885" t="s">
        <v>275</v>
      </c>
      <c r="M885" t="s">
        <v>21</v>
      </c>
    </row>
    <row r="886" spans="1:13" x14ac:dyDescent="0.35">
      <c r="A886" t="str">
        <f>"182-6776"</f>
        <v>182-6776</v>
      </c>
      <c r="B886" t="s">
        <v>3534</v>
      </c>
      <c r="C886" t="str">
        <f>"9240"</f>
        <v>9240</v>
      </c>
      <c r="E886" t="s">
        <v>3535</v>
      </c>
      <c r="F886" t="s">
        <v>1680</v>
      </c>
      <c r="G886" t="s">
        <v>3536</v>
      </c>
      <c r="H886" t="s">
        <v>17</v>
      </c>
      <c r="I886" t="s">
        <v>18</v>
      </c>
      <c r="J886" t="str">
        <f>"4388865555"</f>
        <v>4388865555</v>
      </c>
      <c r="K886" t="s">
        <v>3537</v>
      </c>
      <c r="L886" t="s">
        <v>29</v>
      </c>
      <c r="M886" t="s">
        <v>21</v>
      </c>
    </row>
    <row r="887" spans="1:13" x14ac:dyDescent="0.35">
      <c r="A887" t="str">
        <f>"620-0224"</f>
        <v>620-0224</v>
      </c>
      <c r="B887" t="s">
        <v>3538</v>
      </c>
      <c r="C887" t="str">
        <f>"8281"</f>
        <v>8281</v>
      </c>
      <c r="D887" t="str">
        <f>"20"</f>
        <v>20</v>
      </c>
      <c r="E887" t="s">
        <v>2129</v>
      </c>
      <c r="F887" t="s">
        <v>24</v>
      </c>
      <c r="G887" t="s">
        <v>3539</v>
      </c>
      <c r="H887" t="s">
        <v>17</v>
      </c>
      <c r="I887" t="s">
        <v>18</v>
      </c>
      <c r="J887" t="str">
        <f>"5142683996"</f>
        <v>5142683996</v>
      </c>
      <c r="K887" t="s">
        <v>3540</v>
      </c>
      <c r="L887" t="s">
        <v>76</v>
      </c>
      <c r="M887" t="s">
        <v>21</v>
      </c>
    </row>
    <row r="888" spans="1:13" x14ac:dyDescent="0.35">
      <c r="A888" t="str">
        <f>"228-7853"</f>
        <v>228-7853</v>
      </c>
      <c r="B888" t="s">
        <v>3541</v>
      </c>
      <c r="C888" t="str">
        <f>"5255"</f>
        <v>5255</v>
      </c>
      <c r="D888" t="str">
        <f>"7"</f>
        <v>7</v>
      </c>
      <c r="E888" t="s">
        <v>3542</v>
      </c>
      <c r="F888" t="s">
        <v>24</v>
      </c>
      <c r="G888" t="s">
        <v>3543</v>
      </c>
      <c r="H888" t="s">
        <v>17</v>
      </c>
      <c r="I888" t="s">
        <v>18</v>
      </c>
      <c r="J888" t="str">
        <f>"5144308165"</f>
        <v>5144308165</v>
      </c>
      <c r="K888" t="s">
        <v>3544</v>
      </c>
      <c r="L888" t="s">
        <v>305</v>
      </c>
      <c r="M888" t="s">
        <v>21</v>
      </c>
    </row>
    <row r="889" spans="1:13" x14ac:dyDescent="0.35">
      <c r="A889" t="str">
        <f>"182-2974"</f>
        <v>182-2974</v>
      </c>
      <c r="B889" t="s">
        <v>3545</v>
      </c>
      <c r="C889" t="str">
        <f>"7274"</f>
        <v>7274</v>
      </c>
      <c r="E889" t="s">
        <v>3546</v>
      </c>
      <c r="F889" t="s">
        <v>2281</v>
      </c>
      <c r="G889" t="s">
        <v>2282</v>
      </c>
      <c r="H889" t="s">
        <v>17</v>
      </c>
      <c r="I889" t="s">
        <v>18</v>
      </c>
      <c r="J889" t="str">
        <f>"5143461968"</f>
        <v>5143461968</v>
      </c>
      <c r="K889" t="s">
        <v>3547</v>
      </c>
      <c r="L889" t="s">
        <v>168</v>
      </c>
      <c r="M889" t="s">
        <v>21</v>
      </c>
    </row>
    <row r="890" spans="1:13" x14ac:dyDescent="0.35">
      <c r="A890" t="str">
        <f>"223-5933"</f>
        <v>223-5933</v>
      </c>
      <c r="B890" t="s">
        <v>3548</v>
      </c>
      <c r="C890" t="str">
        <f>"3072"</f>
        <v>3072</v>
      </c>
      <c r="D890" t="str">
        <f>"2"</f>
        <v>2</v>
      </c>
      <c r="E890" t="s">
        <v>3549</v>
      </c>
      <c r="F890" t="s">
        <v>24</v>
      </c>
      <c r="G890" t="s">
        <v>3550</v>
      </c>
      <c r="H890" t="s">
        <v>17</v>
      </c>
      <c r="I890" t="s">
        <v>18</v>
      </c>
      <c r="J890" t="str">
        <f>"5144664824"</f>
        <v>5144664824</v>
      </c>
      <c r="K890" t="s">
        <v>3551</v>
      </c>
      <c r="L890" t="s">
        <v>168</v>
      </c>
      <c r="M890" t="s">
        <v>21</v>
      </c>
    </row>
    <row r="891" spans="1:13" x14ac:dyDescent="0.35">
      <c r="A891" t="str">
        <f>"224-8928"</f>
        <v>224-8928</v>
      </c>
      <c r="B891" t="s">
        <v>3552</v>
      </c>
      <c r="C891" t="str">
        <f>"1441"</f>
        <v>1441</v>
      </c>
      <c r="D891" t="str">
        <f>"304"</f>
        <v>304</v>
      </c>
      <c r="E891" t="s">
        <v>3553</v>
      </c>
      <c r="F891" t="s">
        <v>24</v>
      </c>
      <c r="G891" t="s">
        <v>3554</v>
      </c>
      <c r="H891" t="s">
        <v>17</v>
      </c>
      <c r="I891" t="s">
        <v>18</v>
      </c>
      <c r="J891" t="str">
        <f>"5146547255"</f>
        <v>5146547255</v>
      </c>
      <c r="K891" t="s">
        <v>3555</v>
      </c>
      <c r="L891" t="s">
        <v>137</v>
      </c>
      <c r="M891" t="s">
        <v>21</v>
      </c>
    </row>
    <row r="892" spans="1:13" x14ac:dyDescent="0.35">
      <c r="A892" t="str">
        <f>"229-1783"</f>
        <v>229-1783</v>
      </c>
      <c r="B892" t="s">
        <v>3556</v>
      </c>
      <c r="C892" t="str">
        <f>"6330"</f>
        <v>6330</v>
      </c>
      <c r="E892" t="s">
        <v>3557</v>
      </c>
      <c r="F892" t="s">
        <v>40</v>
      </c>
      <c r="G892" t="s">
        <v>3558</v>
      </c>
      <c r="H892" t="s">
        <v>17</v>
      </c>
      <c r="I892" t="s">
        <v>18</v>
      </c>
      <c r="J892" t="str">
        <f>"5147035700"</f>
        <v>5147035700</v>
      </c>
      <c r="K892" t="s">
        <v>3559</v>
      </c>
      <c r="L892" t="s">
        <v>86</v>
      </c>
      <c r="M892" t="s">
        <v>21</v>
      </c>
    </row>
    <row r="893" spans="1:13" x14ac:dyDescent="0.35">
      <c r="A893" t="str">
        <f>"223-1981"</f>
        <v>223-1981</v>
      </c>
      <c r="B893" t="s">
        <v>3561</v>
      </c>
      <c r="C893" t="str">
        <f>"10340"</f>
        <v>10340</v>
      </c>
      <c r="D893" t="str">
        <f>"22"</f>
        <v>22</v>
      </c>
      <c r="E893" t="s">
        <v>3562</v>
      </c>
      <c r="F893" t="s">
        <v>24</v>
      </c>
      <c r="G893" t="s">
        <v>3563</v>
      </c>
      <c r="H893" t="s">
        <v>17</v>
      </c>
      <c r="I893" t="s">
        <v>18</v>
      </c>
      <c r="J893" t="str">
        <f>"4388762465"</f>
        <v>4388762465</v>
      </c>
      <c r="K893" t="s">
        <v>3564</v>
      </c>
      <c r="L893" t="s">
        <v>220</v>
      </c>
      <c r="M893" t="s">
        <v>21</v>
      </c>
    </row>
    <row r="894" spans="1:13" x14ac:dyDescent="0.35">
      <c r="A894" t="str">
        <f>"223-2841"</f>
        <v>223-2841</v>
      </c>
      <c r="B894" t="s">
        <v>3565</v>
      </c>
      <c r="C894" t="str">
        <f>"8420"</f>
        <v>8420</v>
      </c>
      <c r="D894" t="str">
        <f>"4"</f>
        <v>4</v>
      </c>
      <c r="E894" t="s">
        <v>2587</v>
      </c>
      <c r="F894" t="s">
        <v>40</v>
      </c>
      <c r="G894" t="s">
        <v>2588</v>
      </c>
      <c r="H894" t="s">
        <v>17</v>
      </c>
      <c r="I894" t="s">
        <v>18</v>
      </c>
      <c r="J894" t="str">
        <f>"5147754851"</f>
        <v>5147754851</v>
      </c>
      <c r="K894" t="s">
        <v>3566</v>
      </c>
      <c r="L894" t="s">
        <v>168</v>
      </c>
      <c r="M894" t="s">
        <v>21</v>
      </c>
    </row>
    <row r="895" spans="1:13" x14ac:dyDescent="0.35">
      <c r="A895" t="str">
        <f>"221-6402"</f>
        <v>221-6402</v>
      </c>
      <c r="B895" t="s">
        <v>3567</v>
      </c>
      <c r="C895" t="str">
        <f>"7957"</f>
        <v>7957</v>
      </c>
      <c r="D895" t="str">
        <f>"7"</f>
        <v>7</v>
      </c>
      <c r="E895" t="s">
        <v>951</v>
      </c>
      <c r="F895" t="s">
        <v>24</v>
      </c>
      <c r="G895" t="s">
        <v>3568</v>
      </c>
      <c r="H895" t="s">
        <v>17</v>
      </c>
      <c r="I895" t="s">
        <v>18</v>
      </c>
      <c r="J895" t="str">
        <f>"4383899804"</f>
        <v>4383899804</v>
      </c>
      <c r="K895" t="s">
        <v>3569</v>
      </c>
      <c r="L895" t="s">
        <v>27</v>
      </c>
      <c r="M895" t="s">
        <v>21</v>
      </c>
    </row>
    <row r="896" spans="1:13" x14ac:dyDescent="0.35">
      <c r="A896" t="str">
        <f>"169-4128"</f>
        <v>169-4128</v>
      </c>
      <c r="B896" t="s">
        <v>3570</v>
      </c>
      <c r="C896" t="str">
        <f>"4340"</f>
        <v>4340</v>
      </c>
      <c r="D896" t="str">
        <f>"309"</f>
        <v>309</v>
      </c>
      <c r="E896" t="s">
        <v>1767</v>
      </c>
      <c r="F896" t="s">
        <v>24</v>
      </c>
      <c r="G896" t="s">
        <v>3571</v>
      </c>
      <c r="H896" t="s">
        <v>17</v>
      </c>
      <c r="I896" t="s">
        <v>18</v>
      </c>
      <c r="J896" t="str">
        <f>"5144679194"</f>
        <v>5144679194</v>
      </c>
      <c r="K896" t="s">
        <v>3572</v>
      </c>
      <c r="L896" t="s">
        <v>27</v>
      </c>
      <c r="M896" t="s">
        <v>21</v>
      </c>
    </row>
    <row r="897" spans="1:13" x14ac:dyDescent="0.35">
      <c r="A897" t="str">
        <f>"206-2489"</f>
        <v>206-2489</v>
      </c>
      <c r="B897" t="s">
        <v>3574</v>
      </c>
      <c r="C897" t="str">
        <f>"875"</f>
        <v>875</v>
      </c>
      <c r="E897" t="s">
        <v>3575</v>
      </c>
      <c r="F897" t="s">
        <v>54</v>
      </c>
      <c r="G897" t="s">
        <v>3576</v>
      </c>
      <c r="H897" t="s">
        <v>17</v>
      </c>
      <c r="I897" t="s">
        <v>18</v>
      </c>
      <c r="J897" t="str">
        <f>"4385254843"</f>
        <v>4385254843</v>
      </c>
      <c r="K897" t="s">
        <v>3577</v>
      </c>
      <c r="L897" t="s">
        <v>168</v>
      </c>
      <c r="M897" t="s">
        <v>21</v>
      </c>
    </row>
    <row r="898" spans="1:13" x14ac:dyDescent="0.35">
      <c r="A898" t="str">
        <f>"218-3515"</f>
        <v>218-3515</v>
      </c>
      <c r="B898" t="s">
        <v>3578</v>
      </c>
      <c r="C898" t="str">
        <f>"1344"</f>
        <v>1344</v>
      </c>
      <c r="D898" t="str">
        <f>"7"</f>
        <v>7</v>
      </c>
      <c r="E898" t="s">
        <v>134</v>
      </c>
      <c r="F898" t="s">
        <v>24</v>
      </c>
      <c r="G898" t="s">
        <v>3579</v>
      </c>
      <c r="H898" t="s">
        <v>17</v>
      </c>
      <c r="I898" t="s">
        <v>18</v>
      </c>
      <c r="J898" t="str">
        <f>"4389988876"</f>
        <v>4389988876</v>
      </c>
      <c r="K898" t="s">
        <v>3580</v>
      </c>
      <c r="L898" t="s">
        <v>168</v>
      </c>
      <c r="M898" t="s">
        <v>21</v>
      </c>
    </row>
    <row r="899" spans="1:13" x14ac:dyDescent="0.35">
      <c r="A899" t="str">
        <f>"218-3905"</f>
        <v>218-3905</v>
      </c>
      <c r="B899" t="s">
        <v>3581</v>
      </c>
      <c r="C899" t="str">
        <f>"5631"</f>
        <v>5631</v>
      </c>
      <c r="E899" t="s">
        <v>3582</v>
      </c>
      <c r="F899" t="s">
        <v>256</v>
      </c>
      <c r="G899" t="s">
        <v>3583</v>
      </c>
      <c r="H899" t="s">
        <v>17</v>
      </c>
      <c r="I899" t="s">
        <v>18</v>
      </c>
      <c r="J899" t="str">
        <f>"5146525388"</f>
        <v>5146525388</v>
      </c>
      <c r="K899" t="s">
        <v>3584</v>
      </c>
      <c r="L899" t="s">
        <v>137</v>
      </c>
      <c r="M899" t="s">
        <v>21</v>
      </c>
    </row>
    <row r="900" spans="1:13" x14ac:dyDescent="0.35">
      <c r="A900" t="str">
        <f>"225-7429"</f>
        <v>225-7429</v>
      </c>
      <c r="B900" t="s">
        <v>3586</v>
      </c>
      <c r="C900" t="str">
        <f>"10046"</f>
        <v>10046</v>
      </c>
      <c r="E900" t="s">
        <v>3587</v>
      </c>
      <c r="F900" t="s">
        <v>40</v>
      </c>
      <c r="G900" t="s">
        <v>3588</v>
      </c>
      <c r="H900" t="s">
        <v>17</v>
      </c>
      <c r="I900" t="s">
        <v>18</v>
      </c>
      <c r="J900" t="str">
        <f>"4388842570"</f>
        <v>4388842570</v>
      </c>
      <c r="K900" t="s">
        <v>3589</v>
      </c>
      <c r="L900" t="s">
        <v>869</v>
      </c>
      <c r="M900" t="s">
        <v>21</v>
      </c>
    </row>
    <row r="901" spans="1:13" x14ac:dyDescent="0.35">
      <c r="A901" t="str">
        <f>"227-1075"</f>
        <v>227-1075</v>
      </c>
      <c r="B901" t="s">
        <v>3590</v>
      </c>
      <c r="C901" t="str">
        <f>"2690"</f>
        <v>2690</v>
      </c>
      <c r="D901" t="str">
        <f>"1"</f>
        <v>1</v>
      </c>
      <c r="E901" t="s">
        <v>3591</v>
      </c>
      <c r="F901" t="s">
        <v>24</v>
      </c>
      <c r="G901" t="s">
        <v>730</v>
      </c>
      <c r="H901" t="s">
        <v>17</v>
      </c>
      <c r="I901" t="s">
        <v>18</v>
      </c>
      <c r="J901" t="str">
        <f>"4385062715"</f>
        <v>4385062715</v>
      </c>
      <c r="K901" t="s">
        <v>3592</v>
      </c>
      <c r="L901" t="s">
        <v>193</v>
      </c>
      <c r="M901" t="s">
        <v>21</v>
      </c>
    </row>
    <row r="902" spans="1:13" x14ac:dyDescent="0.35">
      <c r="A902" t="str">
        <f>"227-2671"</f>
        <v>227-2671</v>
      </c>
      <c r="B902" t="s">
        <v>3593</v>
      </c>
      <c r="C902" t="str">
        <f>"8570"</f>
        <v>8570</v>
      </c>
      <c r="D902" t="str">
        <f>"1"</f>
        <v>1</v>
      </c>
      <c r="E902" t="s">
        <v>485</v>
      </c>
      <c r="F902" t="s">
        <v>40</v>
      </c>
      <c r="G902" t="s">
        <v>3594</v>
      </c>
      <c r="H902" t="s">
        <v>17</v>
      </c>
      <c r="I902" t="s">
        <v>18</v>
      </c>
      <c r="J902" t="str">
        <f>"5142550022"</f>
        <v>5142550022</v>
      </c>
      <c r="K902" t="s">
        <v>3595</v>
      </c>
      <c r="L902" t="s">
        <v>76</v>
      </c>
      <c r="M902" t="s">
        <v>21</v>
      </c>
    </row>
    <row r="903" spans="1:13" x14ac:dyDescent="0.35">
      <c r="A903" t="str">
        <f>"228-8931"</f>
        <v>228-8931</v>
      </c>
      <c r="B903" t="s">
        <v>3596</v>
      </c>
      <c r="C903" t="str">
        <f>"8"</f>
        <v>8</v>
      </c>
      <c r="D903" t="str">
        <f>"6"</f>
        <v>6</v>
      </c>
      <c r="E903" t="s">
        <v>3597</v>
      </c>
      <c r="F903" t="s">
        <v>24</v>
      </c>
      <c r="G903" t="s">
        <v>3598</v>
      </c>
      <c r="H903" t="s">
        <v>17</v>
      </c>
      <c r="I903" t="s">
        <v>18</v>
      </c>
      <c r="J903" t="str">
        <f>"5148826449"</f>
        <v>5148826449</v>
      </c>
      <c r="K903" t="s">
        <v>3599</v>
      </c>
      <c r="L903" t="s">
        <v>137</v>
      </c>
      <c r="M903" t="s">
        <v>21</v>
      </c>
    </row>
    <row r="904" spans="1:13" x14ac:dyDescent="0.35">
      <c r="A904" t="str">
        <f>"229-2721"</f>
        <v>229-2721</v>
      </c>
      <c r="B904" t="s">
        <v>3600</v>
      </c>
      <c r="C904" t="str">
        <f>"6502"</f>
        <v>6502</v>
      </c>
      <c r="E904" t="s">
        <v>1436</v>
      </c>
      <c r="F904" t="s">
        <v>24</v>
      </c>
      <c r="G904" t="s">
        <v>1437</v>
      </c>
      <c r="H904" t="s">
        <v>17</v>
      </c>
      <c r="I904" t="s">
        <v>18</v>
      </c>
      <c r="J904" t="str">
        <f>"4383785799"</f>
        <v>4383785799</v>
      </c>
      <c r="K904" t="s">
        <v>3601</v>
      </c>
      <c r="L904" t="s">
        <v>396</v>
      </c>
      <c r="M904" t="s">
        <v>21</v>
      </c>
    </row>
    <row r="905" spans="1:13" x14ac:dyDescent="0.35">
      <c r="A905" t="str">
        <f>"619-3246"</f>
        <v>619-3246</v>
      </c>
      <c r="B905" t="s">
        <v>3602</v>
      </c>
      <c r="C905" t="str">
        <f>"2287"</f>
        <v>2287</v>
      </c>
      <c r="E905" t="s">
        <v>3603</v>
      </c>
      <c r="F905" t="s">
        <v>24</v>
      </c>
      <c r="G905" t="s">
        <v>3604</v>
      </c>
      <c r="H905" t="s">
        <v>17</v>
      </c>
      <c r="I905" t="s">
        <v>18</v>
      </c>
      <c r="J905" t="str">
        <f>"4389268577"</f>
        <v>4389268577</v>
      </c>
      <c r="K905" t="s">
        <v>3605</v>
      </c>
      <c r="L905" t="s">
        <v>86</v>
      </c>
      <c r="M905" t="s">
        <v>21</v>
      </c>
    </row>
    <row r="906" spans="1:13" x14ac:dyDescent="0.35">
      <c r="A906" t="str">
        <f>"620-9960"</f>
        <v>620-9960</v>
      </c>
      <c r="B906" t="s">
        <v>3606</v>
      </c>
      <c r="C906" t="str">
        <f>"2694"</f>
        <v>2694</v>
      </c>
      <c r="E906" t="s">
        <v>3607</v>
      </c>
      <c r="F906" t="s">
        <v>24</v>
      </c>
      <c r="G906" t="s">
        <v>3608</v>
      </c>
      <c r="H906" t="s">
        <v>17</v>
      </c>
      <c r="I906" t="s">
        <v>18</v>
      </c>
      <c r="J906" t="str">
        <f>"4386309762"</f>
        <v>4386309762</v>
      </c>
      <c r="K906" t="s">
        <v>3609</v>
      </c>
      <c r="L906" t="s">
        <v>319</v>
      </c>
      <c r="M906" t="s">
        <v>21</v>
      </c>
    </row>
    <row r="907" spans="1:13" x14ac:dyDescent="0.35">
      <c r="A907" t="str">
        <f>"621-0289"</f>
        <v>621-0289</v>
      </c>
      <c r="B907" t="s">
        <v>3610</v>
      </c>
      <c r="C907" t="str">
        <f>"10931"</f>
        <v>10931</v>
      </c>
      <c r="E907" t="s">
        <v>3611</v>
      </c>
      <c r="F907" t="s">
        <v>24</v>
      </c>
      <c r="G907" t="s">
        <v>3612</v>
      </c>
      <c r="H907" t="s">
        <v>17</v>
      </c>
      <c r="I907" t="s">
        <v>18</v>
      </c>
      <c r="J907" t="str">
        <f>"5149106134"</f>
        <v>5149106134</v>
      </c>
      <c r="K907" t="s">
        <v>3613</v>
      </c>
      <c r="L907" t="s">
        <v>193</v>
      </c>
      <c r="M907" t="s">
        <v>21</v>
      </c>
    </row>
    <row r="908" spans="1:13" x14ac:dyDescent="0.35">
      <c r="A908" t="str">
        <f>"621-0445"</f>
        <v>621-0445</v>
      </c>
      <c r="B908" t="s">
        <v>3614</v>
      </c>
      <c r="C908" t="str">
        <f>"10"</f>
        <v>10</v>
      </c>
      <c r="D908" t="str">
        <f>"101"</f>
        <v>101</v>
      </c>
      <c r="E908" t="s">
        <v>3615</v>
      </c>
      <c r="F908" t="s">
        <v>229</v>
      </c>
      <c r="G908" t="s">
        <v>3616</v>
      </c>
      <c r="H908" t="s">
        <v>17</v>
      </c>
      <c r="I908" t="s">
        <v>18</v>
      </c>
      <c r="J908" t="str">
        <f>"4386222422"</f>
        <v>4386222422</v>
      </c>
      <c r="K908" t="s">
        <v>3617</v>
      </c>
      <c r="L908" t="s">
        <v>39</v>
      </c>
      <c r="M908" t="s">
        <v>21</v>
      </c>
    </row>
    <row r="909" spans="1:13" x14ac:dyDescent="0.35">
      <c r="A909" t="str">
        <f>"226-7245"</f>
        <v>226-7245</v>
      </c>
      <c r="B909" t="s">
        <v>3618</v>
      </c>
      <c r="C909" t="str">
        <f>"4701"</f>
        <v>4701</v>
      </c>
      <c r="E909" t="s">
        <v>1300</v>
      </c>
      <c r="F909" t="s">
        <v>40</v>
      </c>
      <c r="G909" t="s">
        <v>3619</v>
      </c>
      <c r="H909" t="s">
        <v>17</v>
      </c>
      <c r="I909" t="s">
        <v>18</v>
      </c>
      <c r="J909" t="str">
        <f>"4508489461"</f>
        <v>4508489461</v>
      </c>
      <c r="K909" t="s">
        <v>3620</v>
      </c>
      <c r="L909" t="s">
        <v>517</v>
      </c>
      <c r="M909" t="s">
        <v>21</v>
      </c>
    </row>
    <row r="910" spans="1:13" x14ac:dyDescent="0.35">
      <c r="A910" t="str">
        <f>"621-5809"</f>
        <v>621-5809</v>
      </c>
      <c r="B910" t="s">
        <v>3621</v>
      </c>
      <c r="C910" t="str">
        <f>"202"</f>
        <v>202</v>
      </c>
      <c r="E910" t="s">
        <v>3622</v>
      </c>
      <c r="F910" t="s">
        <v>2553</v>
      </c>
      <c r="G910" t="s">
        <v>3623</v>
      </c>
      <c r="H910" t="s">
        <v>17</v>
      </c>
      <c r="I910" t="s">
        <v>18</v>
      </c>
      <c r="J910" t="str">
        <f>"8198250773"</f>
        <v>8198250773</v>
      </c>
      <c r="K910" t="s">
        <v>3624</v>
      </c>
      <c r="L910" t="s">
        <v>29</v>
      </c>
      <c r="M910" t="s">
        <v>21</v>
      </c>
    </row>
    <row r="911" spans="1:13" x14ac:dyDescent="0.35">
      <c r="A911" t="str">
        <f>"226-8340"</f>
        <v>226-8340</v>
      </c>
      <c r="B911" t="s">
        <v>3625</v>
      </c>
      <c r="C911" t="str">
        <f>"4255"</f>
        <v>4255</v>
      </c>
      <c r="D911" t="str">
        <f>"708"</f>
        <v>708</v>
      </c>
      <c r="E911" t="s">
        <v>3626</v>
      </c>
      <c r="F911" t="s">
        <v>24</v>
      </c>
      <c r="G911" t="s">
        <v>3627</v>
      </c>
      <c r="H911" t="s">
        <v>17</v>
      </c>
      <c r="I911" t="s">
        <v>18</v>
      </c>
      <c r="J911" t="str">
        <f>"5149755229"</f>
        <v>5149755229</v>
      </c>
      <c r="K911" t="s">
        <v>3628</v>
      </c>
      <c r="L911" t="s">
        <v>76</v>
      </c>
      <c r="M911" t="s">
        <v>21</v>
      </c>
    </row>
    <row r="912" spans="1:13" x14ac:dyDescent="0.35">
      <c r="A912" t="str">
        <f>"224-0177"</f>
        <v>224-0177</v>
      </c>
      <c r="B912" t="s">
        <v>3629</v>
      </c>
      <c r="C912" t="str">
        <f>"12424"</f>
        <v>12424</v>
      </c>
      <c r="D912" t="str">
        <f>"7"</f>
        <v>7</v>
      </c>
      <c r="E912" t="s">
        <v>268</v>
      </c>
      <c r="F912" t="s">
        <v>24</v>
      </c>
      <c r="G912" t="s">
        <v>3630</v>
      </c>
      <c r="H912" t="s">
        <v>17</v>
      </c>
      <c r="I912" t="s">
        <v>18</v>
      </c>
      <c r="J912" t="str">
        <f>"4389949015"</f>
        <v>4389949015</v>
      </c>
      <c r="K912" t="s">
        <v>3631</v>
      </c>
      <c r="L912" t="s">
        <v>76</v>
      </c>
      <c r="M912" t="s">
        <v>21</v>
      </c>
    </row>
    <row r="913" spans="1:13" x14ac:dyDescent="0.35">
      <c r="A913" t="str">
        <f>"230-2282"</f>
        <v>230-2282</v>
      </c>
      <c r="B913" t="s">
        <v>3632</v>
      </c>
      <c r="C913" t="str">
        <f>"3825"</f>
        <v>3825</v>
      </c>
      <c r="D913" t="str">
        <f>"320"</f>
        <v>320</v>
      </c>
      <c r="E913" t="s">
        <v>1248</v>
      </c>
      <c r="F913" t="s">
        <v>24</v>
      </c>
      <c r="G913" t="s">
        <v>3633</v>
      </c>
      <c r="H913" t="s">
        <v>17</v>
      </c>
      <c r="I913" t="s">
        <v>18</v>
      </c>
      <c r="J913" t="str">
        <f>"4385314845"</f>
        <v>4385314845</v>
      </c>
      <c r="K913" t="s">
        <v>3634</v>
      </c>
      <c r="L913" t="s">
        <v>193</v>
      </c>
      <c r="M913" t="s">
        <v>21</v>
      </c>
    </row>
    <row r="914" spans="1:13" x14ac:dyDescent="0.35">
      <c r="A914" t="str">
        <f>"619-5561"</f>
        <v>619-5561</v>
      </c>
      <c r="B914" t="s">
        <v>3635</v>
      </c>
      <c r="C914" t="str">
        <f>"2047"</f>
        <v>2047</v>
      </c>
      <c r="D914" t="str">
        <f>"2047"</f>
        <v>2047</v>
      </c>
      <c r="E914" t="s">
        <v>3636</v>
      </c>
      <c r="F914" t="s">
        <v>24</v>
      </c>
      <c r="G914" t="s">
        <v>3637</v>
      </c>
      <c r="H914" t="s">
        <v>17</v>
      </c>
      <c r="I914" t="s">
        <v>18</v>
      </c>
      <c r="J914" t="str">
        <f>"5145733697"</f>
        <v>5145733697</v>
      </c>
      <c r="K914" t="s">
        <v>3638</v>
      </c>
      <c r="L914" t="s">
        <v>168</v>
      </c>
      <c r="M914" t="s">
        <v>21</v>
      </c>
    </row>
    <row r="915" spans="1:13" x14ac:dyDescent="0.35">
      <c r="A915" t="str">
        <f>"144-3723"</f>
        <v>144-3723</v>
      </c>
      <c r="B915" t="s">
        <v>3639</v>
      </c>
      <c r="C915" t="str">
        <f>"5695"</f>
        <v>5695</v>
      </c>
      <c r="D915" t="str">
        <f>"2"</f>
        <v>2</v>
      </c>
      <c r="E915" t="s">
        <v>417</v>
      </c>
      <c r="F915" t="s">
        <v>24</v>
      </c>
      <c r="G915" t="s">
        <v>3640</v>
      </c>
      <c r="H915" t="s">
        <v>17</v>
      </c>
      <c r="I915" t="s">
        <v>18</v>
      </c>
      <c r="J915" t="str">
        <f>"5148316158"</f>
        <v>5148316158</v>
      </c>
      <c r="K915" t="s">
        <v>3641</v>
      </c>
      <c r="L915" t="s">
        <v>29</v>
      </c>
      <c r="M915" t="s">
        <v>21</v>
      </c>
    </row>
    <row r="916" spans="1:13" x14ac:dyDescent="0.35">
      <c r="A916" t="str">
        <f>"621-7998"</f>
        <v>621-7998</v>
      </c>
      <c r="B916" t="s">
        <v>3642</v>
      </c>
      <c r="C916" t="str">
        <f>"135"</f>
        <v>135</v>
      </c>
      <c r="E916" t="s">
        <v>3643</v>
      </c>
      <c r="F916" t="s">
        <v>866</v>
      </c>
      <c r="G916" t="s">
        <v>3644</v>
      </c>
      <c r="H916" t="s">
        <v>17</v>
      </c>
      <c r="I916" t="s">
        <v>18</v>
      </c>
      <c r="J916" t="str">
        <f>"4383089086"</f>
        <v>4383089086</v>
      </c>
      <c r="K916" t="s">
        <v>3645</v>
      </c>
      <c r="L916" t="s">
        <v>20</v>
      </c>
      <c r="M916" t="s">
        <v>21</v>
      </c>
    </row>
    <row r="917" spans="1:13" x14ac:dyDescent="0.35">
      <c r="A917" t="str">
        <f>"224-5132"</f>
        <v>224-5132</v>
      </c>
      <c r="B917" t="s">
        <v>3646</v>
      </c>
      <c r="C917" t="str">
        <f>"4188"</f>
        <v>4188</v>
      </c>
      <c r="E917" t="s">
        <v>3647</v>
      </c>
      <c r="F917" t="s">
        <v>24</v>
      </c>
      <c r="G917" t="s">
        <v>3648</v>
      </c>
      <c r="H917" t="s">
        <v>17</v>
      </c>
      <c r="I917" t="s">
        <v>18</v>
      </c>
      <c r="J917" t="str">
        <f>"4383557475"</f>
        <v>4383557475</v>
      </c>
      <c r="K917" t="s">
        <v>3649</v>
      </c>
      <c r="L917" t="s">
        <v>1509</v>
      </c>
      <c r="M917" t="s">
        <v>21</v>
      </c>
    </row>
    <row r="918" spans="1:13" x14ac:dyDescent="0.35">
      <c r="A918" t="str">
        <f>"230-7233"</f>
        <v>230-7233</v>
      </c>
      <c r="B918" t="s">
        <v>3650</v>
      </c>
      <c r="C918" t="str">
        <f>"1201"</f>
        <v>1201</v>
      </c>
      <c r="E918" t="s">
        <v>3651</v>
      </c>
      <c r="F918" t="s">
        <v>24</v>
      </c>
      <c r="G918" t="s">
        <v>3652</v>
      </c>
      <c r="H918" t="s">
        <v>17</v>
      </c>
      <c r="I918" t="s">
        <v>18</v>
      </c>
      <c r="J918" t="str">
        <f>"5149661075"</f>
        <v>5149661075</v>
      </c>
      <c r="K918" t="s">
        <v>3653</v>
      </c>
      <c r="L918" t="s">
        <v>168</v>
      </c>
      <c r="M918" t="s">
        <v>21</v>
      </c>
    </row>
    <row r="919" spans="1:13" x14ac:dyDescent="0.35">
      <c r="A919" t="str">
        <f>"230-8339"</f>
        <v>230-8339</v>
      </c>
      <c r="B919" t="s">
        <v>3654</v>
      </c>
      <c r="C919" t="str">
        <f>"5715"</f>
        <v>5715</v>
      </c>
      <c r="E919" t="s">
        <v>3655</v>
      </c>
      <c r="F919" t="s">
        <v>322</v>
      </c>
      <c r="G919" t="s">
        <v>3656</v>
      </c>
      <c r="H919" t="s">
        <v>17</v>
      </c>
      <c r="I919" t="s">
        <v>18</v>
      </c>
      <c r="J919" t="str">
        <f>"5794216136"</f>
        <v>5794216136</v>
      </c>
      <c r="K919" t="s">
        <v>3657</v>
      </c>
      <c r="L919" t="s">
        <v>168</v>
      </c>
      <c r="M919" t="s">
        <v>21</v>
      </c>
    </row>
    <row r="920" spans="1:13" x14ac:dyDescent="0.35">
      <c r="A920" t="str">
        <f>"621-4901"</f>
        <v>621-4901</v>
      </c>
      <c r="B920" t="s">
        <v>3658</v>
      </c>
      <c r="C920" t="str">
        <f>"6945"</f>
        <v>6945</v>
      </c>
      <c r="D920" t="str">
        <f>"1"</f>
        <v>1</v>
      </c>
      <c r="E920" t="s">
        <v>1072</v>
      </c>
      <c r="F920" t="s">
        <v>24</v>
      </c>
      <c r="G920" t="s">
        <v>3659</v>
      </c>
      <c r="H920" t="s">
        <v>17</v>
      </c>
      <c r="I920" t="s">
        <v>18</v>
      </c>
      <c r="J920" t="str">
        <f>"4389232575"</f>
        <v>4389232575</v>
      </c>
      <c r="K920" t="s">
        <v>3660</v>
      </c>
      <c r="L920" t="s">
        <v>98</v>
      </c>
      <c r="M920" t="s">
        <v>21</v>
      </c>
    </row>
    <row r="921" spans="1:13" x14ac:dyDescent="0.35">
      <c r="A921" t="str">
        <f>"077-9354"</f>
        <v>077-9354</v>
      </c>
      <c r="B921" t="s">
        <v>3661</v>
      </c>
      <c r="C921" t="str">
        <f>"6785"</f>
        <v>6785</v>
      </c>
      <c r="E921" t="s">
        <v>3662</v>
      </c>
      <c r="F921" t="s">
        <v>24</v>
      </c>
      <c r="G921" t="s">
        <v>3663</v>
      </c>
      <c r="H921" t="s">
        <v>17</v>
      </c>
      <c r="I921" t="s">
        <v>18</v>
      </c>
      <c r="J921" t="str">
        <f>"5145712829"</f>
        <v>5145712829</v>
      </c>
      <c r="K921" t="s">
        <v>3664</v>
      </c>
      <c r="L921" t="s">
        <v>86</v>
      </c>
      <c r="M921" t="s">
        <v>21</v>
      </c>
    </row>
    <row r="922" spans="1:13" x14ac:dyDescent="0.35">
      <c r="A922" t="str">
        <f>"230-9551"</f>
        <v>230-9551</v>
      </c>
      <c r="B922" t="s">
        <v>3665</v>
      </c>
      <c r="I922" t="s">
        <v>3666</v>
      </c>
      <c r="J922" t="str">
        <f>"0612761807"</f>
        <v>0612761807</v>
      </c>
      <c r="K922" t="s">
        <v>3667</v>
      </c>
      <c r="L922" t="s">
        <v>168</v>
      </c>
      <c r="M922" t="s">
        <v>21</v>
      </c>
    </row>
    <row r="923" spans="1:13" x14ac:dyDescent="0.35">
      <c r="A923" t="str">
        <f>"231-0042"</f>
        <v>231-0042</v>
      </c>
      <c r="B923" t="s">
        <v>3668</v>
      </c>
      <c r="C923" t="str">
        <f>"4357"</f>
        <v>4357</v>
      </c>
      <c r="D923" t="str">
        <f>"38"</f>
        <v>38</v>
      </c>
      <c r="E923" t="s">
        <v>544</v>
      </c>
      <c r="F923" t="s">
        <v>40</v>
      </c>
      <c r="G923" t="s">
        <v>3669</v>
      </c>
      <c r="H923" t="s">
        <v>17</v>
      </c>
      <c r="I923" t="s">
        <v>18</v>
      </c>
      <c r="J923" t="str">
        <f>"4383089253"</f>
        <v>4383089253</v>
      </c>
      <c r="K923" t="s">
        <v>3670</v>
      </c>
      <c r="L923" t="s">
        <v>168</v>
      </c>
      <c r="M923" t="s">
        <v>21</v>
      </c>
    </row>
    <row r="924" spans="1:13" x14ac:dyDescent="0.35">
      <c r="A924" t="str">
        <f>"231-0236"</f>
        <v>231-0236</v>
      </c>
      <c r="B924" t="s">
        <v>3671</v>
      </c>
      <c r="C924" t="str">
        <f>"8941"</f>
        <v>8941</v>
      </c>
      <c r="D924" t="str">
        <f>"1"</f>
        <v>1</v>
      </c>
      <c r="E924" t="s">
        <v>3672</v>
      </c>
      <c r="F924" t="s">
        <v>24</v>
      </c>
      <c r="G924" t="s">
        <v>3673</v>
      </c>
      <c r="H924" t="s">
        <v>17</v>
      </c>
      <c r="I924" t="s">
        <v>18</v>
      </c>
      <c r="J924" t="str">
        <f>"5147086689"</f>
        <v>5147086689</v>
      </c>
      <c r="K924" t="s">
        <v>3674</v>
      </c>
      <c r="L924" t="s">
        <v>193</v>
      </c>
      <c r="M924" t="s">
        <v>21</v>
      </c>
    </row>
    <row r="925" spans="1:13" x14ac:dyDescent="0.35">
      <c r="A925" t="str">
        <f>"088-8046"</f>
        <v>088-8046</v>
      </c>
      <c r="B925" t="s">
        <v>3675</v>
      </c>
      <c r="C925" t="str">
        <f>"70"</f>
        <v>70</v>
      </c>
      <c r="E925" t="s">
        <v>3676</v>
      </c>
      <c r="F925" t="s">
        <v>430</v>
      </c>
      <c r="G925" t="s">
        <v>3677</v>
      </c>
      <c r="H925" t="s">
        <v>17</v>
      </c>
      <c r="I925" t="s">
        <v>18</v>
      </c>
      <c r="J925" t="str">
        <f>"5148219873"</f>
        <v>5148219873</v>
      </c>
      <c r="K925" t="s">
        <v>3678</v>
      </c>
      <c r="L925" t="s">
        <v>350</v>
      </c>
      <c r="M925" t="s">
        <v>21</v>
      </c>
    </row>
    <row r="926" spans="1:13" x14ac:dyDescent="0.35">
      <c r="A926" t="str">
        <f>"198-0124"</f>
        <v>198-0124</v>
      </c>
      <c r="B926" t="s">
        <v>3679</v>
      </c>
      <c r="C926" t="str">
        <f>"1225"</f>
        <v>1225</v>
      </c>
      <c r="D926" t="str">
        <f>"311"</f>
        <v>311</v>
      </c>
      <c r="E926" t="s">
        <v>3680</v>
      </c>
      <c r="F926" t="s">
        <v>24</v>
      </c>
      <c r="G926" t="s">
        <v>3681</v>
      </c>
      <c r="H926" t="s">
        <v>17</v>
      </c>
      <c r="I926" t="s">
        <v>18</v>
      </c>
      <c r="J926" t="str">
        <f>"4384084168"</f>
        <v>4384084168</v>
      </c>
      <c r="K926" t="s">
        <v>3682</v>
      </c>
      <c r="L926" t="s">
        <v>198</v>
      </c>
      <c r="M926" t="s">
        <v>21</v>
      </c>
    </row>
    <row r="927" spans="1:13" x14ac:dyDescent="0.35">
      <c r="A927" t="str">
        <f>"212-6018"</f>
        <v>212-6018</v>
      </c>
      <c r="B927" t="s">
        <v>3683</v>
      </c>
      <c r="C927" t="str">
        <f>"1810"</f>
        <v>1810</v>
      </c>
      <c r="D927" t="str">
        <f>"8"</f>
        <v>8</v>
      </c>
      <c r="E927" t="s">
        <v>3459</v>
      </c>
      <c r="F927" t="s">
        <v>157</v>
      </c>
      <c r="G927" t="s">
        <v>3684</v>
      </c>
      <c r="H927" t="s">
        <v>17</v>
      </c>
      <c r="I927" t="s">
        <v>18</v>
      </c>
      <c r="J927" t="str">
        <f>"4382206273"</f>
        <v>4382206273</v>
      </c>
      <c r="K927" t="s">
        <v>3685</v>
      </c>
      <c r="L927" t="s">
        <v>313</v>
      </c>
      <c r="M927" t="s">
        <v>21</v>
      </c>
    </row>
    <row r="928" spans="1:13" x14ac:dyDescent="0.35">
      <c r="A928" t="str">
        <f>"218-4053"</f>
        <v>218-4053</v>
      </c>
      <c r="B928" t="s">
        <v>3686</v>
      </c>
      <c r="C928" t="str">
        <f>"4391"</f>
        <v>4391</v>
      </c>
      <c r="E928" t="s">
        <v>3687</v>
      </c>
      <c r="F928" t="s">
        <v>54</v>
      </c>
      <c r="G928" t="s">
        <v>3688</v>
      </c>
      <c r="H928" t="s">
        <v>17</v>
      </c>
      <c r="I928" t="s">
        <v>18</v>
      </c>
      <c r="J928" t="str">
        <f>"5146219810"</f>
        <v>5146219810</v>
      </c>
      <c r="K928" t="s">
        <v>3689</v>
      </c>
      <c r="L928" t="s">
        <v>76</v>
      </c>
      <c r="M928" t="s">
        <v>21</v>
      </c>
    </row>
    <row r="929" spans="1:13" x14ac:dyDescent="0.35">
      <c r="A929" t="str">
        <f>"232-4736"</f>
        <v>232-4736</v>
      </c>
      <c r="B929" t="s">
        <v>3690</v>
      </c>
      <c r="C929" t="str">
        <f>"1785"</f>
        <v>1785</v>
      </c>
      <c r="D929" t="str">
        <f>"7"</f>
        <v>7</v>
      </c>
      <c r="E929" t="s">
        <v>3691</v>
      </c>
      <c r="F929" t="s">
        <v>24</v>
      </c>
      <c r="G929" t="s">
        <v>3692</v>
      </c>
      <c r="H929" t="s">
        <v>17</v>
      </c>
      <c r="I929" t="s">
        <v>18</v>
      </c>
      <c r="J929" t="str">
        <f>"5144418996"</f>
        <v>5144418996</v>
      </c>
      <c r="K929" t="s">
        <v>3693</v>
      </c>
      <c r="L929" t="s">
        <v>438</v>
      </c>
      <c r="M929" t="s">
        <v>21</v>
      </c>
    </row>
    <row r="930" spans="1:13" x14ac:dyDescent="0.35">
      <c r="A930" t="str">
        <f>"232-5569"</f>
        <v>232-5569</v>
      </c>
      <c r="B930" t="s">
        <v>3694</v>
      </c>
      <c r="C930" t="str">
        <f>"8977"</f>
        <v>8977</v>
      </c>
      <c r="E930" t="s">
        <v>356</v>
      </c>
      <c r="F930" t="s">
        <v>24</v>
      </c>
      <c r="G930" t="s">
        <v>3695</v>
      </c>
      <c r="H930" t="s">
        <v>17</v>
      </c>
      <c r="I930" t="s">
        <v>18</v>
      </c>
      <c r="J930" t="str">
        <f>"4377558958"</f>
        <v>4377558958</v>
      </c>
      <c r="K930" t="s">
        <v>3696</v>
      </c>
      <c r="L930" t="s">
        <v>76</v>
      </c>
      <c r="M930" t="s">
        <v>21</v>
      </c>
    </row>
    <row r="931" spans="1:13" x14ac:dyDescent="0.35">
      <c r="A931" t="str">
        <f>"232-6431"</f>
        <v>232-6431</v>
      </c>
      <c r="B931" t="s">
        <v>3697</v>
      </c>
      <c r="C931" t="str">
        <f>"2861"</f>
        <v>2861</v>
      </c>
      <c r="E931" t="s">
        <v>3698</v>
      </c>
      <c r="F931" t="s">
        <v>24</v>
      </c>
      <c r="G931" t="s">
        <v>3699</v>
      </c>
      <c r="H931" t="s">
        <v>17</v>
      </c>
      <c r="I931" t="s">
        <v>18</v>
      </c>
      <c r="J931" t="str">
        <f>"4389278660"</f>
        <v>4389278660</v>
      </c>
      <c r="K931" t="s">
        <v>3700</v>
      </c>
      <c r="L931" t="s">
        <v>220</v>
      </c>
      <c r="M931" t="s">
        <v>21</v>
      </c>
    </row>
    <row r="932" spans="1:13" x14ac:dyDescent="0.35">
      <c r="A932" t="str">
        <f>"232-6278"</f>
        <v>232-6278</v>
      </c>
      <c r="B932" t="s">
        <v>3701</v>
      </c>
      <c r="C932" t="str">
        <f>"191"</f>
        <v>191</v>
      </c>
      <c r="E932" t="s">
        <v>3702</v>
      </c>
      <c r="F932" t="s">
        <v>3703</v>
      </c>
      <c r="G932" t="s">
        <v>3704</v>
      </c>
      <c r="H932" t="s">
        <v>17</v>
      </c>
      <c r="I932" t="s">
        <v>18</v>
      </c>
      <c r="J932" t="str">
        <f>"4385404022"</f>
        <v>4385404022</v>
      </c>
      <c r="K932" t="s">
        <v>3705</v>
      </c>
      <c r="L932" t="s">
        <v>70</v>
      </c>
      <c r="M932" t="s">
        <v>21</v>
      </c>
    </row>
    <row r="933" spans="1:13" x14ac:dyDescent="0.35">
      <c r="A933" t="str">
        <f>"196-0575"</f>
        <v>196-0575</v>
      </c>
      <c r="B933" t="s">
        <v>3706</v>
      </c>
      <c r="C933" t="str">
        <f>"1425"</f>
        <v>1425</v>
      </c>
      <c r="D933" t="str">
        <f>"4"</f>
        <v>4</v>
      </c>
      <c r="E933" t="s">
        <v>3707</v>
      </c>
      <c r="F933" t="s">
        <v>24</v>
      </c>
      <c r="G933" t="s">
        <v>3708</v>
      </c>
      <c r="H933" t="s">
        <v>17</v>
      </c>
      <c r="I933" t="s">
        <v>18</v>
      </c>
      <c r="J933" t="str">
        <f>"5146292852"</f>
        <v>5146292852</v>
      </c>
      <c r="K933" t="s">
        <v>3709</v>
      </c>
      <c r="L933" t="s">
        <v>438</v>
      </c>
      <c r="M933" t="s">
        <v>21</v>
      </c>
    </row>
    <row r="934" spans="1:13" x14ac:dyDescent="0.35">
      <c r="A934" t="str">
        <f>"191-2888"</f>
        <v>191-2888</v>
      </c>
      <c r="B934" t="s">
        <v>3710</v>
      </c>
      <c r="C934" t="str">
        <f>"7720"</f>
        <v>7720</v>
      </c>
      <c r="D934" t="str">
        <f>"6"</f>
        <v>6</v>
      </c>
      <c r="E934" t="s">
        <v>1339</v>
      </c>
      <c r="F934" t="s">
        <v>24</v>
      </c>
      <c r="G934" t="s">
        <v>3711</v>
      </c>
      <c r="H934" t="s">
        <v>17</v>
      </c>
      <c r="I934" t="s">
        <v>18</v>
      </c>
      <c r="J934" t="str">
        <f>"4388889522"</f>
        <v>4388889522</v>
      </c>
      <c r="K934" t="s">
        <v>3712</v>
      </c>
      <c r="L934" t="s">
        <v>193</v>
      </c>
      <c r="M934" t="s">
        <v>21</v>
      </c>
    </row>
    <row r="935" spans="1:13" x14ac:dyDescent="0.35">
      <c r="A935" t="str">
        <f>"182-9645"</f>
        <v>182-9645</v>
      </c>
      <c r="B935" t="s">
        <v>3713</v>
      </c>
      <c r="C935" t="str">
        <f>"2042"</f>
        <v>2042</v>
      </c>
      <c r="E935" t="s">
        <v>3714</v>
      </c>
      <c r="F935" t="s">
        <v>54</v>
      </c>
      <c r="G935" t="s">
        <v>3715</v>
      </c>
      <c r="H935" t="s">
        <v>17</v>
      </c>
      <c r="I935" t="s">
        <v>18</v>
      </c>
      <c r="J935" t="str">
        <f>"4383451402"</f>
        <v>4383451402</v>
      </c>
      <c r="K935" t="s">
        <v>3716</v>
      </c>
      <c r="L935" t="s">
        <v>198</v>
      </c>
      <c r="M935" t="s">
        <v>21</v>
      </c>
    </row>
    <row r="936" spans="1:13" x14ac:dyDescent="0.35">
      <c r="A936" t="str">
        <f>"196-2714"</f>
        <v>196-2714</v>
      </c>
      <c r="B936" t="s">
        <v>3717</v>
      </c>
      <c r="C936" t="str">
        <f>"2728"</f>
        <v>2728</v>
      </c>
      <c r="D936" t="str">
        <f>"12"</f>
        <v>12</v>
      </c>
      <c r="E936" t="s">
        <v>3718</v>
      </c>
      <c r="F936" t="s">
        <v>24</v>
      </c>
      <c r="G936" t="s">
        <v>3719</v>
      </c>
      <c r="H936" t="s">
        <v>17</v>
      </c>
      <c r="I936" t="s">
        <v>18</v>
      </c>
      <c r="J936" t="str">
        <f>"4385260201"</f>
        <v>4385260201</v>
      </c>
      <c r="K936" t="s">
        <v>3720</v>
      </c>
      <c r="L936" t="s">
        <v>76</v>
      </c>
      <c r="M936" t="s">
        <v>21</v>
      </c>
    </row>
    <row r="937" spans="1:13" x14ac:dyDescent="0.35">
      <c r="A937" t="str">
        <f>"168-2857"</f>
        <v>168-2857</v>
      </c>
      <c r="B937" t="s">
        <v>3721</v>
      </c>
      <c r="C937" t="str">
        <f>"12156"</f>
        <v>12156</v>
      </c>
      <c r="E937" t="s">
        <v>3722</v>
      </c>
      <c r="F937" t="s">
        <v>24</v>
      </c>
      <c r="G937" t="s">
        <v>3723</v>
      </c>
      <c r="H937" t="s">
        <v>17</v>
      </c>
      <c r="I937" t="s">
        <v>18</v>
      </c>
      <c r="J937" t="str">
        <f>"5146290372"</f>
        <v>5146290372</v>
      </c>
      <c r="K937" t="s">
        <v>3724</v>
      </c>
      <c r="L937" t="s">
        <v>132</v>
      </c>
      <c r="M937" t="s">
        <v>21</v>
      </c>
    </row>
    <row r="938" spans="1:13" x14ac:dyDescent="0.35">
      <c r="A938" t="str">
        <f>"227-3773"</f>
        <v>227-3773</v>
      </c>
      <c r="B938" t="s">
        <v>3725</v>
      </c>
      <c r="C938" t="str">
        <f>"1220"</f>
        <v>1220</v>
      </c>
      <c r="E938" t="s">
        <v>3726</v>
      </c>
      <c r="F938" t="s">
        <v>1554</v>
      </c>
      <c r="G938" t="s">
        <v>3727</v>
      </c>
      <c r="H938" t="s">
        <v>17</v>
      </c>
      <c r="I938" t="s">
        <v>18</v>
      </c>
      <c r="J938" t="str">
        <f>"4388209122"</f>
        <v>4388209122</v>
      </c>
      <c r="K938" t="s">
        <v>3728</v>
      </c>
      <c r="L938" t="s">
        <v>86</v>
      </c>
      <c r="M938" t="s">
        <v>21</v>
      </c>
    </row>
    <row r="939" spans="1:13" x14ac:dyDescent="0.35">
      <c r="A939" t="str">
        <f>"232-1994"</f>
        <v>232-1994</v>
      </c>
      <c r="B939" t="s">
        <v>3729</v>
      </c>
      <c r="C939" t="str">
        <f>"2817"</f>
        <v>2817</v>
      </c>
      <c r="E939" t="s">
        <v>3730</v>
      </c>
      <c r="F939" t="s">
        <v>24</v>
      </c>
      <c r="G939" t="s">
        <v>3731</v>
      </c>
      <c r="H939" t="s">
        <v>17</v>
      </c>
      <c r="I939" t="s">
        <v>18</v>
      </c>
      <c r="J939" t="str">
        <f>"5143747876"</f>
        <v>5143747876</v>
      </c>
      <c r="K939" t="s">
        <v>3732</v>
      </c>
      <c r="L939" t="s">
        <v>438</v>
      </c>
      <c r="M939" t="s">
        <v>21</v>
      </c>
    </row>
    <row r="940" spans="1:13" x14ac:dyDescent="0.35">
      <c r="A940" t="str">
        <f>"233-0056"</f>
        <v>233-0056</v>
      </c>
      <c r="B940" t="s">
        <v>3733</v>
      </c>
      <c r="C940" t="str">
        <f>"401"</f>
        <v>401</v>
      </c>
      <c r="D940" t="str">
        <f>"10"</f>
        <v>10</v>
      </c>
      <c r="E940" t="s">
        <v>3734</v>
      </c>
      <c r="F940" t="s">
        <v>157</v>
      </c>
      <c r="G940" t="s">
        <v>3735</v>
      </c>
      <c r="H940" t="s">
        <v>17</v>
      </c>
      <c r="I940" t="s">
        <v>18</v>
      </c>
      <c r="J940" t="str">
        <f>"5146524855"</f>
        <v>5146524855</v>
      </c>
      <c r="K940" t="s">
        <v>3736</v>
      </c>
      <c r="L940" t="s">
        <v>333</v>
      </c>
      <c r="M940" t="s">
        <v>21</v>
      </c>
    </row>
    <row r="941" spans="1:13" x14ac:dyDescent="0.35">
      <c r="A941" t="str">
        <f>"233-0264"</f>
        <v>233-0264</v>
      </c>
      <c r="B941" t="s">
        <v>3737</v>
      </c>
      <c r="C941" t="str">
        <f>"4900"</f>
        <v>4900</v>
      </c>
      <c r="D941" t="str">
        <f>"10"</f>
        <v>10</v>
      </c>
      <c r="E941" t="s">
        <v>1461</v>
      </c>
      <c r="F941" t="s">
        <v>24</v>
      </c>
      <c r="G941" t="s">
        <v>1462</v>
      </c>
      <c r="H941" t="s">
        <v>17</v>
      </c>
      <c r="I941" t="s">
        <v>18</v>
      </c>
      <c r="J941" t="str">
        <f>"5818499362"</f>
        <v>5818499362</v>
      </c>
      <c r="K941" t="s">
        <v>3738</v>
      </c>
      <c r="L941" t="s">
        <v>86</v>
      </c>
      <c r="M941" t="s">
        <v>21</v>
      </c>
    </row>
    <row r="942" spans="1:13" x14ac:dyDescent="0.35">
      <c r="A942" t="str">
        <f>"231-6354"</f>
        <v>231-6354</v>
      </c>
      <c r="B942" t="s">
        <v>3739</v>
      </c>
      <c r="C942" t="str">
        <f>"11578"</f>
        <v>11578</v>
      </c>
      <c r="D942" t="str">
        <f>"11578"</f>
        <v>11578</v>
      </c>
      <c r="E942" t="s">
        <v>1048</v>
      </c>
      <c r="F942" t="s">
        <v>24</v>
      </c>
      <c r="G942" t="s">
        <v>3740</v>
      </c>
      <c r="H942" t="s">
        <v>17</v>
      </c>
      <c r="I942" t="s">
        <v>18</v>
      </c>
      <c r="J942" t="str">
        <f>"4385287435"</f>
        <v>4385287435</v>
      </c>
      <c r="K942" t="s">
        <v>3741</v>
      </c>
      <c r="L942" t="s">
        <v>220</v>
      </c>
      <c r="M942" t="s">
        <v>21</v>
      </c>
    </row>
    <row r="943" spans="1:13" x14ac:dyDescent="0.35">
      <c r="A943" t="str">
        <f>"231-6670"</f>
        <v>231-6670</v>
      </c>
      <c r="B943" t="s">
        <v>3742</v>
      </c>
      <c r="C943" t="str">
        <f>"8436"</f>
        <v>8436</v>
      </c>
      <c r="E943" t="s">
        <v>3743</v>
      </c>
      <c r="F943" t="s">
        <v>24</v>
      </c>
      <c r="G943" t="s">
        <v>3744</v>
      </c>
      <c r="H943" t="s">
        <v>17</v>
      </c>
      <c r="I943" t="s">
        <v>18</v>
      </c>
      <c r="J943" t="str">
        <f>"5142953544"</f>
        <v>5142953544</v>
      </c>
      <c r="K943" t="s">
        <v>3745</v>
      </c>
      <c r="L943" t="s">
        <v>86</v>
      </c>
      <c r="M943" t="s">
        <v>21</v>
      </c>
    </row>
    <row r="944" spans="1:13" x14ac:dyDescent="0.35">
      <c r="A944" t="str">
        <f>"233-3972"</f>
        <v>233-3972</v>
      </c>
      <c r="B944" t="s">
        <v>3746</v>
      </c>
      <c r="C944" t="str">
        <f>"159"</f>
        <v>159</v>
      </c>
      <c r="E944" t="s">
        <v>3747</v>
      </c>
      <c r="F944" t="s">
        <v>32</v>
      </c>
      <c r="G944" t="s">
        <v>3748</v>
      </c>
      <c r="H944" t="s">
        <v>17</v>
      </c>
      <c r="I944" t="s">
        <v>18</v>
      </c>
      <c r="J944" t="str">
        <f>"5147944606"</f>
        <v>5147944606</v>
      </c>
      <c r="K944" t="s">
        <v>3749</v>
      </c>
      <c r="L944" t="s">
        <v>168</v>
      </c>
      <c r="M944" t="s">
        <v>21</v>
      </c>
    </row>
    <row r="945" spans="1:13" x14ac:dyDescent="0.35">
      <c r="A945" t="str">
        <f>"232-8500"</f>
        <v>232-8500</v>
      </c>
      <c r="B945" t="s">
        <v>3750</v>
      </c>
      <c r="C945" t="str">
        <f>"320"</f>
        <v>320</v>
      </c>
      <c r="E945" t="s">
        <v>3751</v>
      </c>
      <c r="F945" t="s">
        <v>3752</v>
      </c>
      <c r="G945" t="s">
        <v>3753</v>
      </c>
      <c r="H945" t="s">
        <v>17</v>
      </c>
      <c r="I945" t="s">
        <v>18</v>
      </c>
      <c r="J945" t="str">
        <f>"4382235631"</f>
        <v>4382235631</v>
      </c>
      <c r="K945" t="s">
        <v>3754</v>
      </c>
      <c r="L945" t="s">
        <v>438</v>
      </c>
      <c r="M945" t="s">
        <v>21</v>
      </c>
    </row>
    <row r="946" spans="1:13" x14ac:dyDescent="0.35">
      <c r="A946" t="str">
        <f>"232-8713"</f>
        <v>232-8713</v>
      </c>
      <c r="B946" t="s">
        <v>3756</v>
      </c>
      <c r="C946" t="str">
        <f>"204"</f>
        <v>204</v>
      </c>
      <c r="E946" t="s">
        <v>3757</v>
      </c>
      <c r="F946" t="s">
        <v>32</v>
      </c>
      <c r="G946" t="s">
        <v>3758</v>
      </c>
      <c r="H946" t="s">
        <v>17</v>
      </c>
      <c r="I946" t="s">
        <v>18</v>
      </c>
      <c r="J946" t="str">
        <f>"4383402096"</f>
        <v>4383402096</v>
      </c>
      <c r="K946" t="s">
        <v>3759</v>
      </c>
      <c r="L946" t="s">
        <v>70</v>
      </c>
      <c r="M946" t="s">
        <v>21</v>
      </c>
    </row>
    <row r="947" spans="1:13" x14ac:dyDescent="0.35">
      <c r="A947" t="str">
        <f>"232-9318"</f>
        <v>232-9318</v>
      </c>
      <c r="B947" t="s">
        <v>3760</v>
      </c>
      <c r="C947" t="str">
        <f>"3478"</f>
        <v>3478</v>
      </c>
      <c r="E947" t="s">
        <v>3761</v>
      </c>
      <c r="F947" t="s">
        <v>143</v>
      </c>
      <c r="G947" t="s">
        <v>3762</v>
      </c>
      <c r="H947" t="s">
        <v>17</v>
      </c>
      <c r="I947" t="s">
        <v>18</v>
      </c>
      <c r="J947" t="str">
        <f>"5142959873"</f>
        <v>5142959873</v>
      </c>
      <c r="K947" t="s">
        <v>3763</v>
      </c>
      <c r="L947" t="s">
        <v>168</v>
      </c>
      <c r="M947" t="s">
        <v>21</v>
      </c>
    </row>
    <row r="948" spans="1:13" x14ac:dyDescent="0.35">
      <c r="A948" t="str">
        <f>"232-5820"</f>
        <v>232-5820</v>
      </c>
      <c r="B948" t="s">
        <v>3764</v>
      </c>
      <c r="C948" t="str">
        <f>"337"</f>
        <v>337</v>
      </c>
      <c r="E948" t="s">
        <v>3765</v>
      </c>
      <c r="F948" t="s">
        <v>24</v>
      </c>
      <c r="G948" t="s">
        <v>3766</v>
      </c>
      <c r="H948" t="s">
        <v>17</v>
      </c>
      <c r="I948" t="s">
        <v>18</v>
      </c>
      <c r="J948" t="str">
        <f>"4383231406"</f>
        <v>4383231406</v>
      </c>
      <c r="K948" t="s">
        <v>3767</v>
      </c>
      <c r="L948" t="s">
        <v>534</v>
      </c>
      <c r="M948" t="s">
        <v>21</v>
      </c>
    </row>
    <row r="949" spans="1:13" x14ac:dyDescent="0.35">
      <c r="A949" t="str">
        <f>"239-9001"</f>
        <v>239-9001</v>
      </c>
      <c r="B949" t="s">
        <v>3768</v>
      </c>
      <c r="C949" t="str">
        <f>"3469"</f>
        <v>3469</v>
      </c>
      <c r="D949" t="str">
        <f>"204"</f>
        <v>204</v>
      </c>
      <c r="E949" t="s">
        <v>2245</v>
      </c>
      <c r="F949" t="s">
        <v>40</v>
      </c>
      <c r="G949" t="s">
        <v>1097</v>
      </c>
      <c r="H949" t="s">
        <v>17</v>
      </c>
      <c r="I949" t="s">
        <v>18</v>
      </c>
      <c r="J949" t="str">
        <f>"4383685549"</f>
        <v>4383685549</v>
      </c>
      <c r="K949" t="s">
        <v>3769</v>
      </c>
      <c r="L949" t="s">
        <v>76</v>
      </c>
      <c r="M949" t="s">
        <v>21</v>
      </c>
    </row>
    <row r="950" spans="1:13" x14ac:dyDescent="0.35">
      <c r="A950" t="str">
        <f>"196-9397"</f>
        <v>196-9397</v>
      </c>
      <c r="B950" t="s">
        <v>3770</v>
      </c>
      <c r="C950" t="str">
        <f>"2900"</f>
        <v>2900</v>
      </c>
      <c r="D950" t="str">
        <f>"605"</f>
        <v>605</v>
      </c>
      <c r="E950" t="s">
        <v>3771</v>
      </c>
      <c r="F950" t="s">
        <v>866</v>
      </c>
      <c r="G950" t="s">
        <v>3772</v>
      </c>
      <c r="H950" t="s">
        <v>17</v>
      </c>
      <c r="I950" t="s">
        <v>18</v>
      </c>
      <c r="J950" t="str">
        <f>"4383709536"</f>
        <v>4383709536</v>
      </c>
      <c r="K950" t="s">
        <v>3773</v>
      </c>
      <c r="L950" t="s">
        <v>39</v>
      </c>
      <c r="M950" t="s">
        <v>21</v>
      </c>
    </row>
    <row r="951" spans="1:13" x14ac:dyDescent="0.35">
      <c r="A951" t="str">
        <f>"214-5197"</f>
        <v>214-5197</v>
      </c>
      <c r="B951" t="s">
        <v>3774</v>
      </c>
      <c r="C951" t="str">
        <f>"115"</f>
        <v>115</v>
      </c>
      <c r="E951" t="s">
        <v>3775</v>
      </c>
      <c r="F951" t="s">
        <v>866</v>
      </c>
      <c r="G951" t="s">
        <v>3776</v>
      </c>
      <c r="H951" t="s">
        <v>17</v>
      </c>
      <c r="I951" t="s">
        <v>18</v>
      </c>
      <c r="J951" t="str">
        <f>"5147393993"</f>
        <v>5147393993</v>
      </c>
      <c r="K951" t="s">
        <v>3777</v>
      </c>
      <c r="L951" t="s">
        <v>220</v>
      </c>
      <c r="M951" t="s">
        <v>21</v>
      </c>
    </row>
    <row r="952" spans="1:13" x14ac:dyDescent="0.35">
      <c r="A952" t="str">
        <f>"233-2592"</f>
        <v>233-2592</v>
      </c>
      <c r="B952" t="s">
        <v>3779</v>
      </c>
      <c r="C952" t="str">
        <f>"4111"</f>
        <v>4111</v>
      </c>
      <c r="D952" t="str">
        <f>"8"</f>
        <v>8</v>
      </c>
      <c r="E952" t="s">
        <v>3780</v>
      </c>
      <c r="F952" t="s">
        <v>24</v>
      </c>
      <c r="G952" t="s">
        <v>3781</v>
      </c>
      <c r="H952" t="s">
        <v>17</v>
      </c>
      <c r="I952" t="s">
        <v>18</v>
      </c>
      <c r="J952" t="str">
        <f>"4387655100"</f>
        <v>4387655100</v>
      </c>
      <c r="K952" t="s">
        <v>3782</v>
      </c>
      <c r="L952" t="s">
        <v>220</v>
      </c>
      <c r="M952" t="s">
        <v>21</v>
      </c>
    </row>
    <row r="953" spans="1:13" x14ac:dyDescent="0.35">
      <c r="A953" t="str">
        <f>"619-7360"</f>
        <v>619-7360</v>
      </c>
      <c r="B953" t="s">
        <v>3783</v>
      </c>
      <c r="C953" t="str">
        <f>"10305"</f>
        <v>10305</v>
      </c>
      <c r="E953" t="s">
        <v>3784</v>
      </c>
      <c r="F953" t="s">
        <v>24</v>
      </c>
      <c r="G953" t="s">
        <v>3785</v>
      </c>
      <c r="H953" t="s">
        <v>17</v>
      </c>
      <c r="I953" t="s">
        <v>18</v>
      </c>
      <c r="J953" t="str">
        <f>"5149294084"</f>
        <v>5149294084</v>
      </c>
      <c r="K953" t="s">
        <v>3786</v>
      </c>
      <c r="L953" t="s">
        <v>76</v>
      </c>
      <c r="M953" t="s">
        <v>21</v>
      </c>
    </row>
    <row r="954" spans="1:13" x14ac:dyDescent="0.35">
      <c r="A954" t="str">
        <f>"231-5069"</f>
        <v>231-5069</v>
      </c>
      <c r="B954" t="s">
        <v>3787</v>
      </c>
      <c r="C954" t="str">
        <f>"11349"</f>
        <v>11349</v>
      </c>
      <c r="D954" t="str">
        <f>"09"</f>
        <v>09</v>
      </c>
      <c r="E954" t="s">
        <v>3788</v>
      </c>
      <c r="F954" t="s">
        <v>24</v>
      </c>
      <c r="G954" t="s">
        <v>3789</v>
      </c>
      <c r="H954" t="s">
        <v>17</v>
      </c>
      <c r="I954" t="s">
        <v>18</v>
      </c>
      <c r="J954" t="str">
        <f>"4383368944"</f>
        <v>4383368944</v>
      </c>
      <c r="K954" t="s">
        <v>3790</v>
      </c>
      <c r="L954" t="s">
        <v>27</v>
      </c>
      <c r="M954" t="s">
        <v>21</v>
      </c>
    </row>
    <row r="955" spans="1:13" x14ac:dyDescent="0.35">
      <c r="A955" t="str">
        <f>"139-1462"</f>
        <v>139-1462</v>
      </c>
      <c r="B955" t="s">
        <v>3791</v>
      </c>
      <c r="C955" t="str">
        <f>"7325"</f>
        <v>7325</v>
      </c>
      <c r="D955" t="str">
        <f>"5"</f>
        <v>5</v>
      </c>
      <c r="E955" t="s">
        <v>949</v>
      </c>
      <c r="F955" t="s">
        <v>24</v>
      </c>
      <c r="G955" t="s">
        <v>373</v>
      </c>
      <c r="H955" t="s">
        <v>17</v>
      </c>
      <c r="I955" t="s">
        <v>18</v>
      </c>
      <c r="J955" t="str">
        <f>"4388333789"</f>
        <v>4388333789</v>
      </c>
      <c r="K955" t="s">
        <v>3792</v>
      </c>
      <c r="L955" t="s">
        <v>203</v>
      </c>
      <c r="M955" t="s">
        <v>21</v>
      </c>
    </row>
    <row r="956" spans="1:13" x14ac:dyDescent="0.35">
      <c r="A956" t="str">
        <f>"192-9388"</f>
        <v>192-9388</v>
      </c>
      <c r="B956" t="s">
        <v>3793</v>
      </c>
      <c r="C956" t="str">
        <f>"5824"</f>
        <v>5824</v>
      </c>
      <c r="E956" t="s">
        <v>949</v>
      </c>
      <c r="F956" t="s">
        <v>24</v>
      </c>
      <c r="G956" t="s">
        <v>3794</v>
      </c>
      <c r="H956" t="s">
        <v>17</v>
      </c>
      <c r="I956" t="s">
        <v>18</v>
      </c>
      <c r="J956" t="str">
        <f>"5147589995"</f>
        <v>5147589995</v>
      </c>
      <c r="K956" t="s">
        <v>3795</v>
      </c>
      <c r="L956" t="s">
        <v>319</v>
      </c>
      <c r="M956" t="s">
        <v>21</v>
      </c>
    </row>
    <row r="957" spans="1:13" x14ac:dyDescent="0.35">
      <c r="A957" t="str">
        <f>"196-5102"</f>
        <v>196-5102</v>
      </c>
      <c r="B957" t="s">
        <v>3796</v>
      </c>
      <c r="C957" t="str">
        <f>"5748"</f>
        <v>5748</v>
      </c>
      <c r="E957" t="s">
        <v>3797</v>
      </c>
      <c r="F957" t="s">
        <v>24</v>
      </c>
      <c r="G957" t="s">
        <v>3798</v>
      </c>
      <c r="H957" t="s">
        <v>17</v>
      </c>
      <c r="I957" t="s">
        <v>18</v>
      </c>
      <c r="J957" t="str">
        <f>"5144677533"</f>
        <v>5144677533</v>
      </c>
      <c r="K957" t="s">
        <v>3799</v>
      </c>
      <c r="L957" t="s">
        <v>168</v>
      </c>
      <c r="M957" t="s">
        <v>21</v>
      </c>
    </row>
    <row r="958" spans="1:13" x14ac:dyDescent="0.35">
      <c r="A958" t="str">
        <f>"224-2915"</f>
        <v>224-2915</v>
      </c>
      <c r="B958" t="s">
        <v>3800</v>
      </c>
      <c r="C958" t="str">
        <f>"5215"</f>
        <v>5215</v>
      </c>
      <c r="D958" t="str">
        <f>"5215"</f>
        <v>5215</v>
      </c>
      <c r="E958" t="s">
        <v>306</v>
      </c>
      <c r="F958" t="s">
        <v>24</v>
      </c>
      <c r="G958" t="s">
        <v>1539</v>
      </c>
      <c r="H958" t="s">
        <v>17</v>
      </c>
      <c r="I958" t="s">
        <v>18</v>
      </c>
      <c r="J958" t="str">
        <f>"4388358464"</f>
        <v>4388358464</v>
      </c>
      <c r="K958" t="s">
        <v>3801</v>
      </c>
      <c r="L958" t="s">
        <v>76</v>
      </c>
      <c r="M958" t="s">
        <v>21</v>
      </c>
    </row>
    <row r="959" spans="1:13" x14ac:dyDescent="0.35">
      <c r="A959" t="str">
        <f>"232-6698"</f>
        <v>232-6698</v>
      </c>
      <c r="B959" t="s">
        <v>3802</v>
      </c>
      <c r="C959" t="str">
        <f>"2289"</f>
        <v>2289</v>
      </c>
      <c r="E959" t="s">
        <v>3803</v>
      </c>
      <c r="F959" t="s">
        <v>24</v>
      </c>
      <c r="G959" t="s">
        <v>3804</v>
      </c>
      <c r="H959" t="s">
        <v>17</v>
      </c>
      <c r="I959" t="s">
        <v>18</v>
      </c>
      <c r="J959" t="str">
        <f>"4386869098"</f>
        <v>4386869098</v>
      </c>
      <c r="K959" t="s">
        <v>3805</v>
      </c>
      <c r="L959" t="s">
        <v>383</v>
      </c>
      <c r="M959" t="s">
        <v>21</v>
      </c>
    </row>
    <row r="960" spans="1:13" x14ac:dyDescent="0.35">
      <c r="A960" t="str">
        <f>"232-7439"</f>
        <v>232-7439</v>
      </c>
      <c r="B960" t="s">
        <v>3806</v>
      </c>
      <c r="C960" t="str">
        <f>"5003"</f>
        <v>5003</v>
      </c>
      <c r="E960" t="s">
        <v>3807</v>
      </c>
      <c r="F960" t="s">
        <v>1109</v>
      </c>
      <c r="G960" t="s">
        <v>3808</v>
      </c>
      <c r="H960" t="s">
        <v>17</v>
      </c>
      <c r="I960" t="s">
        <v>18</v>
      </c>
      <c r="J960" t="str">
        <f>"4185409747"</f>
        <v>4185409747</v>
      </c>
      <c r="K960" t="s">
        <v>3809</v>
      </c>
      <c r="L960" t="s">
        <v>220</v>
      </c>
      <c r="M960" t="s">
        <v>21</v>
      </c>
    </row>
    <row r="961" spans="1:13" x14ac:dyDescent="0.35">
      <c r="A961" t="str">
        <f>"226-6199"</f>
        <v>226-6199</v>
      </c>
      <c r="B961" t="s">
        <v>3810</v>
      </c>
      <c r="C961" t="str">
        <f>"6739"</f>
        <v>6739</v>
      </c>
      <c r="E961" t="s">
        <v>3811</v>
      </c>
      <c r="F961" t="s">
        <v>24</v>
      </c>
      <c r="G961" t="s">
        <v>3812</v>
      </c>
      <c r="H961" t="s">
        <v>17</v>
      </c>
      <c r="I961" t="s">
        <v>18</v>
      </c>
      <c r="J961" t="str">
        <f>"5144760324"</f>
        <v>5144760324</v>
      </c>
      <c r="K961" t="s">
        <v>3813</v>
      </c>
      <c r="L961" t="s">
        <v>534</v>
      </c>
      <c r="M961" t="s">
        <v>21</v>
      </c>
    </row>
    <row r="962" spans="1:13" x14ac:dyDescent="0.35">
      <c r="A962" t="str">
        <f>"231-4602"</f>
        <v>231-4602</v>
      </c>
      <c r="B962" t="s">
        <v>3814</v>
      </c>
      <c r="C962" t="str">
        <f>"7101"</f>
        <v>7101</v>
      </c>
      <c r="E962" t="s">
        <v>3815</v>
      </c>
      <c r="F962" t="s">
        <v>24</v>
      </c>
      <c r="G962" t="s">
        <v>3816</v>
      </c>
      <c r="H962" t="s">
        <v>17</v>
      </c>
      <c r="I962" t="s">
        <v>18</v>
      </c>
      <c r="J962" t="str">
        <f>"4389859946"</f>
        <v>4389859946</v>
      </c>
      <c r="K962" t="s">
        <v>3817</v>
      </c>
      <c r="L962" t="s">
        <v>137</v>
      </c>
      <c r="M962" t="s">
        <v>21</v>
      </c>
    </row>
    <row r="963" spans="1:13" x14ac:dyDescent="0.35">
      <c r="A963" t="str">
        <f>"231-7774"</f>
        <v>231-7774</v>
      </c>
      <c r="B963" t="s">
        <v>3818</v>
      </c>
      <c r="C963" t="str">
        <f>"1039"</f>
        <v>1039</v>
      </c>
      <c r="E963" t="s">
        <v>3489</v>
      </c>
      <c r="F963" t="s">
        <v>32</v>
      </c>
      <c r="G963" t="s">
        <v>3819</v>
      </c>
      <c r="H963" t="s">
        <v>17</v>
      </c>
      <c r="I963" t="s">
        <v>18</v>
      </c>
      <c r="J963" t="str">
        <f>"4389284610"</f>
        <v>4389284610</v>
      </c>
      <c r="K963" t="s">
        <v>3820</v>
      </c>
      <c r="L963" t="s">
        <v>27</v>
      </c>
      <c r="M963" t="s">
        <v>21</v>
      </c>
    </row>
    <row r="964" spans="1:13" x14ac:dyDescent="0.35">
      <c r="A964" t="str">
        <f>"231-8259"</f>
        <v>231-8259</v>
      </c>
      <c r="B964" t="s">
        <v>3821</v>
      </c>
      <c r="C964" t="str">
        <f>"9331"</f>
        <v>9331</v>
      </c>
      <c r="D964" t="str">
        <f>"2"</f>
        <v>2</v>
      </c>
      <c r="E964" t="s">
        <v>727</v>
      </c>
      <c r="F964" t="s">
        <v>24</v>
      </c>
      <c r="G964" t="s">
        <v>3822</v>
      </c>
      <c r="H964" t="s">
        <v>17</v>
      </c>
      <c r="I964" t="s">
        <v>18</v>
      </c>
      <c r="J964" t="str">
        <f>"4386227715"</f>
        <v>4386227715</v>
      </c>
      <c r="K964" t="s">
        <v>3823</v>
      </c>
      <c r="L964" t="s">
        <v>27</v>
      </c>
      <c r="M964" t="s">
        <v>21</v>
      </c>
    </row>
    <row r="965" spans="1:13" x14ac:dyDescent="0.35">
      <c r="A965" t="str">
        <f>"231-8655"</f>
        <v>231-8655</v>
      </c>
      <c r="B965" t="s">
        <v>3824</v>
      </c>
      <c r="C965" t="str">
        <f>"7210"</f>
        <v>7210</v>
      </c>
      <c r="D965" t="str">
        <f>"3"</f>
        <v>3</v>
      </c>
      <c r="E965" t="s">
        <v>3184</v>
      </c>
      <c r="F965" t="s">
        <v>24</v>
      </c>
      <c r="G965" t="s">
        <v>3825</v>
      </c>
      <c r="H965" t="s">
        <v>17</v>
      </c>
      <c r="I965" t="s">
        <v>18</v>
      </c>
      <c r="J965" t="str">
        <f>"4388354603"</f>
        <v>4388354603</v>
      </c>
      <c r="K965" t="s">
        <v>3826</v>
      </c>
      <c r="L965" t="s">
        <v>350</v>
      </c>
      <c r="M965" t="s">
        <v>21</v>
      </c>
    </row>
    <row r="966" spans="1:13" x14ac:dyDescent="0.35">
      <c r="A966" t="str">
        <f>"222-9497"</f>
        <v>222-9497</v>
      </c>
      <c r="B966" t="s">
        <v>3827</v>
      </c>
      <c r="C966" t="str">
        <f>"144"</f>
        <v>144</v>
      </c>
      <c r="D966" t="str">
        <f>"6"</f>
        <v>6</v>
      </c>
      <c r="E966" t="s">
        <v>3828</v>
      </c>
      <c r="F966" t="s">
        <v>24</v>
      </c>
      <c r="G966" t="s">
        <v>3829</v>
      </c>
      <c r="H966" t="s">
        <v>17</v>
      </c>
      <c r="I966" t="s">
        <v>18</v>
      </c>
      <c r="J966" t="str">
        <f>"5148340201"</f>
        <v>5148340201</v>
      </c>
      <c r="K966" t="s">
        <v>3830</v>
      </c>
      <c r="L966" t="s">
        <v>220</v>
      </c>
      <c r="M966" t="s">
        <v>21</v>
      </c>
    </row>
    <row r="967" spans="1:13" x14ac:dyDescent="0.35">
      <c r="A967" t="str">
        <f>"223-0663"</f>
        <v>223-0663</v>
      </c>
      <c r="B967" t="s">
        <v>3831</v>
      </c>
      <c r="C967" t="str">
        <f>"12283"</f>
        <v>12283</v>
      </c>
      <c r="E967" t="s">
        <v>2668</v>
      </c>
      <c r="F967" t="s">
        <v>24</v>
      </c>
      <c r="G967" t="s">
        <v>3832</v>
      </c>
      <c r="H967" t="s">
        <v>17</v>
      </c>
      <c r="I967" t="s">
        <v>18</v>
      </c>
      <c r="J967" t="str">
        <f>"5145461881"</f>
        <v>5145461881</v>
      </c>
      <c r="K967" t="s">
        <v>3833</v>
      </c>
      <c r="L967" t="s">
        <v>86</v>
      </c>
      <c r="M967" t="s">
        <v>21</v>
      </c>
    </row>
    <row r="968" spans="1:13" x14ac:dyDescent="0.35">
      <c r="A968" t="str">
        <f>"231-7715"</f>
        <v>231-7715</v>
      </c>
      <c r="B968" t="s">
        <v>3834</v>
      </c>
      <c r="C968" t="str">
        <f>"2666"</f>
        <v>2666</v>
      </c>
      <c r="D968" t="str">
        <f>"1"</f>
        <v>1</v>
      </c>
      <c r="E968" t="s">
        <v>3835</v>
      </c>
      <c r="F968" t="s">
        <v>24</v>
      </c>
      <c r="G968" t="s">
        <v>3836</v>
      </c>
      <c r="H968" t="s">
        <v>17</v>
      </c>
      <c r="I968" t="s">
        <v>18</v>
      </c>
      <c r="J968" t="str">
        <f>"5147706986"</f>
        <v>5147706986</v>
      </c>
      <c r="K968" t="s">
        <v>3837</v>
      </c>
      <c r="L968" t="s">
        <v>137</v>
      </c>
      <c r="M968" t="s">
        <v>21</v>
      </c>
    </row>
    <row r="969" spans="1:13" x14ac:dyDescent="0.35">
      <c r="A969" t="str">
        <f>"231-7744"</f>
        <v>231-7744</v>
      </c>
      <c r="B969" t="s">
        <v>3838</v>
      </c>
      <c r="C969" t="str">
        <f>"2505"</f>
        <v>2505</v>
      </c>
      <c r="D969" t="str">
        <f>"707"</f>
        <v>707</v>
      </c>
      <c r="E969" t="s">
        <v>3839</v>
      </c>
      <c r="F969" t="s">
        <v>24</v>
      </c>
      <c r="G969" t="s">
        <v>3840</v>
      </c>
      <c r="H969" t="s">
        <v>17</v>
      </c>
      <c r="I969" t="s">
        <v>18</v>
      </c>
      <c r="J969" t="str">
        <f>"5144634266"</f>
        <v>5144634266</v>
      </c>
      <c r="K969" t="s">
        <v>3841</v>
      </c>
      <c r="L969" t="s">
        <v>168</v>
      </c>
      <c r="M969" t="s">
        <v>21</v>
      </c>
    </row>
    <row r="970" spans="1:13" x14ac:dyDescent="0.35">
      <c r="A970" t="str">
        <f>"620-7933"</f>
        <v>620-7933</v>
      </c>
      <c r="B970" t="s">
        <v>3842</v>
      </c>
      <c r="C970" t="str">
        <f>"225"</f>
        <v>225</v>
      </c>
      <c r="E970" t="s">
        <v>3843</v>
      </c>
      <c r="F970" t="s">
        <v>32</v>
      </c>
      <c r="G970" t="s">
        <v>3844</v>
      </c>
      <c r="H970" t="s">
        <v>17</v>
      </c>
      <c r="I970" t="s">
        <v>18</v>
      </c>
      <c r="J970" t="str">
        <f>"4385099224"</f>
        <v>4385099224</v>
      </c>
      <c r="K970" t="s">
        <v>3845</v>
      </c>
      <c r="L970" t="s">
        <v>220</v>
      </c>
      <c r="M970" t="s">
        <v>21</v>
      </c>
    </row>
    <row r="971" spans="1:13" x14ac:dyDescent="0.35">
      <c r="A971" t="str">
        <f>"226-4118"</f>
        <v>226-4118</v>
      </c>
      <c r="B971" t="s">
        <v>3846</v>
      </c>
      <c r="C971" t="str">
        <f>"1025"</f>
        <v>1025</v>
      </c>
      <c r="E971" t="s">
        <v>3847</v>
      </c>
      <c r="F971" t="s">
        <v>157</v>
      </c>
      <c r="G971" t="s">
        <v>3848</v>
      </c>
      <c r="H971" t="s">
        <v>17</v>
      </c>
      <c r="I971" t="s">
        <v>18</v>
      </c>
      <c r="J971" t="str">
        <f>"5146043869"</f>
        <v>5146043869</v>
      </c>
      <c r="K971" t="s">
        <v>3849</v>
      </c>
      <c r="L971" t="s">
        <v>168</v>
      </c>
      <c r="M971" t="s">
        <v>21</v>
      </c>
    </row>
    <row r="972" spans="1:13" x14ac:dyDescent="0.35">
      <c r="A972" t="str">
        <f>"231-5594"</f>
        <v>231-5594</v>
      </c>
      <c r="B972" t="s">
        <v>3850</v>
      </c>
      <c r="C972" t="str">
        <f>"3469"</f>
        <v>3469</v>
      </c>
      <c r="D972" t="str">
        <f>"157"</f>
        <v>157</v>
      </c>
      <c r="E972" t="s">
        <v>455</v>
      </c>
      <c r="F972" t="s">
        <v>24</v>
      </c>
      <c r="G972" t="s">
        <v>1097</v>
      </c>
      <c r="H972" t="s">
        <v>17</v>
      </c>
      <c r="I972" t="s">
        <v>18</v>
      </c>
      <c r="J972" t="str">
        <f>"4388652606"</f>
        <v>4388652606</v>
      </c>
      <c r="K972" t="s">
        <v>3851</v>
      </c>
      <c r="L972" t="s">
        <v>869</v>
      </c>
      <c r="M972" t="s">
        <v>21</v>
      </c>
    </row>
    <row r="973" spans="1:13" x14ac:dyDescent="0.35">
      <c r="A973" t="str">
        <f>"230-1492"</f>
        <v>230-1492</v>
      </c>
      <c r="B973" t="s">
        <v>3852</v>
      </c>
      <c r="C973" t="str">
        <f>"220"</f>
        <v>220</v>
      </c>
      <c r="D973" t="str">
        <f>"6"</f>
        <v>6</v>
      </c>
      <c r="E973" t="s">
        <v>3853</v>
      </c>
      <c r="F973" t="s">
        <v>24</v>
      </c>
      <c r="G973" t="s">
        <v>3854</v>
      </c>
      <c r="H973" t="s">
        <v>17</v>
      </c>
      <c r="I973" t="s">
        <v>18</v>
      </c>
      <c r="J973" t="str">
        <f>"4383674624"</f>
        <v>4383674624</v>
      </c>
      <c r="K973" t="s">
        <v>3855</v>
      </c>
      <c r="L973" t="s">
        <v>2316</v>
      </c>
      <c r="M973" t="s">
        <v>21</v>
      </c>
    </row>
    <row r="974" spans="1:13" x14ac:dyDescent="0.35">
      <c r="A974" t="str">
        <f>"231-0966"</f>
        <v>231-0966</v>
      </c>
      <c r="B974" t="s">
        <v>3856</v>
      </c>
      <c r="C974" t="str">
        <f>"10406"</f>
        <v>10406</v>
      </c>
      <c r="E974" t="s">
        <v>3857</v>
      </c>
      <c r="F974" t="s">
        <v>24</v>
      </c>
      <c r="G974" t="s">
        <v>3858</v>
      </c>
      <c r="H974" t="s">
        <v>17</v>
      </c>
      <c r="I974" t="s">
        <v>18</v>
      </c>
      <c r="J974" t="str">
        <f>"4388558322"</f>
        <v>4388558322</v>
      </c>
      <c r="K974" t="s">
        <v>3859</v>
      </c>
      <c r="L974" t="s">
        <v>168</v>
      </c>
      <c r="M974" t="s">
        <v>21</v>
      </c>
    </row>
    <row r="975" spans="1:13" x14ac:dyDescent="0.35">
      <c r="A975" t="str">
        <f>"628-2303"</f>
        <v>628-2303</v>
      </c>
      <c r="B975" t="s">
        <v>3860</v>
      </c>
      <c r="C975" t="str">
        <f>"16070"</f>
        <v>16070</v>
      </c>
      <c r="E975" t="s">
        <v>861</v>
      </c>
      <c r="F975" t="s">
        <v>24</v>
      </c>
      <c r="G975" t="s">
        <v>3861</v>
      </c>
      <c r="H975" t="s">
        <v>17</v>
      </c>
      <c r="I975" t="s">
        <v>18</v>
      </c>
      <c r="J975" t="str">
        <f>"4389283101"</f>
        <v>4389283101</v>
      </c>
      <c r="K975" t="s">
        <v>3862</v>
      </c>
      <c r="L975" t="s">
        <v>86</v>
      </c>
      <c r="M975" t="s">
        <v>21</v>
      </c>
    </row>
    <row r="976" spans="1:13" x14ac:dyDescent="0.35">
      <c r="A976" t="str">
        <f>"172-8204"</f>
        <v>172-8204</v>
      </c>
      <c r="B976" t="s">
        <v>3863</v>
      </c>
      <c r="C976" t="str">
        <f>"7380"</f>
        <v>7380</v>
      </c>
      <c r="E976" t="s">
        <v>3864</v>
      </c>
      <c r="F976" t="s">
        <v>24</v>
      </c>
      <c r="G976" t="s">
        <v>3865</v>
      </c>
      <c r="H976" t="s">
        <v>17</v>
      </c>
      <c r="I976" t="s">
        <v>18</v>
      </c>
      <c r="J976" t="str">
        <f>"5145949394"</f>
        <v>5145949394</v>
      </c>
      <c r="K976" t="s">
        <v>3866</v>
      </c>
      <c r="L976" t="s">
        <v>27</v>
      </c>
      <c r="M976" t="s">
        <v>21</v>
      </c>
    </row>
    <row r="977" spans="1:13" x14ac:dyDescent="0.35">
      <c r="A977" t="str">
        <f>"195-8241"</f>
        <v>195-8241</v>
      </c>
      <c r="B977" t="s">
        <v>3867</v>
      </c>
      <c r="C977" t="str">
        <f>"12102"</f>
        <v>12102</v>
      </c>
      <c r="E977" t="s">
        <v>694</v>
      </c>
      <c r="F977" t="s">
        <v>24</v>
      </c>
      <c r="G977" t="s">
        <v>3868</v>
      </c>
      <c r="H977" t="s">
        <v>17</v>
      </c>
      <c r="I977" t="s">
        <v>18</v>
      </c>
      <c r="J977" t="str">
        <f>"5144678958"</f>
        <v>5144678958</v>
      </c>
      <c r="K977" t="s">
        <v>3869</v>
      </c>
      <c r="L977" t="s">
        <v>2410</v>
      </c>
      <c r="M977" t="s">
        <v>21</v>
      </c>
    </row>
    <row r="978" spans="1:13" x14ac:dyDescent="0.35">
      <c r="A978" t="str">
        <f>"218-5895"</f>
        <v>218-5895</v>
      </c>
      <c r="B978" t="s">
        <v>3870</v>
      </c>
      <c r="C978" t="str">
        <f>"5872"</f>
        <v>5872</v>
      </c>
      <c r="E978" t="s">
        <v>421</v>
      </c>
      <c r="F978" t="s">
        <v>24</v>
      </c>
      <c r="G978" t="s">
        <v>3871</v>
      </c>
      <c r="H978" t="s">
        <v>17</v>
      </c>
      <c r="I978" t="s">
        <v>18</v>
      </c>
      <c r="J978" t="str">
        <f>"5142452779"</f>
        <v>5142452779</v>
      </c>
      <c r="K978" t="s">
        <v>3872</v>
      </c>
      <c r="L978" t="s">
        <v>588</v>
      </c>
      <c r="M978" t="s">
        <v>21</v>
      </c>
    </row>
    <row r="979" spans="1:13" x14ac:dyDescent="0.35">
      <c r="A979" t="str">
        <f>"205-0178"</f>
        <v>205-0178</v>
      </c>
      <c r="B979" t="s">
        <v>3873</v>
      </c>
      <c r="C979" t="str">
        <f>"6900"</f>
        <v>6900</v>
      </c>
      <c r="D979" t="str">
        <f>"509"</f>
        <v>509</v>
      </c>
      <c r="E979" t="s">
        <v>3874</v>
      </c>
      <c r="F979" t="s">
        <v>24</v>
      </c>
      <c r="G979" t="s">
        <v>3875</v>
      </c>
      <c r="H979" t="s">
        <v>17</v>
      </c>
      <c r="I979" t="s">
        <v>18</v>
      </c>
      <c r="J979" t="str">
        <f>"4384066086"</f>
        <v>4384066086</v>
      </c>
      <c r="K979" t="s">
        <v>3876</v>
      </c>
      <c r="L979" t="s">
        <v>220</v>
      </c>
      <c r="M979" t="s">
        <v>21</v>
      </c>
    </row>
    <row r="980" spans="1:13" x14ac:dyDescent="0.35">
      <c r="A980" t="str">
        <f>"205-5163"</f>
        <v>205-5163</v>
      </c>
      <c r="B980" t="s">
        <v>3877</v>
      </c>
      <c r="C980" t="str">
        <f>"620"</f>
        <v>620</v>
      </c>
      <c r="D980" t="str">
        <f>"9"</f>
        <v>9</v>
      </c>
      <c r="E980" t="s">
        <v>485</v>
      </c>
      <c r="F980" t="s">
        <v>24</v>
      </c>
      <c r="G980" t="s">
        <v>3878</v>
      </c>
      <c r="H980" t="s">
        <v>17</v>
      </c>
      <c r="I980" t="s">
        <v>18</v>
      </c>
      <c r="J980" t="str">
        <f>"5142092281"</f>
        <v>5142092281</v>
      </c>
      <c r="K980" t="s">
        <v>3879</v>
      </c>
      <c r="L980" t="s">
        <v>396</v>
      </c>
      <c r="M980" t="s">
        <v>21</v>
      </c>
    </row>
    <row r="981" spans="1:13" x14ac:dyDescent="0.35">
      <c r="A981" t="str">
        <f>"215-4040"</f>
        <v>215-4040</v>
      </c>
      <c r="B981" t="s">
        <v>3880</v>
      </c>
      <c r="C981" t="str">
        <f>"3555"</f>
        <v>3555</v>
      </c>
      <c r="D981" t="str">
        <f>"2"</f>
        <v>2</v>
      </c>
      <c r="E981" t="s">
        <v>3881</v>
      </c>
      <c r="F981" t="s">
        <v>24</v>
      </c>
      <c r="G981" t="s">
        <v>3882</v>
      </c>
      <c r="H981" t="s">
        <v>17</v>
      </c>
      <c r="I981" t="s">
        <v>18</v>
      </c>
      <c r="J981" t="str">
        <f>"5148930429"</f>
        <v>5148930429</v>
      </c>
      <c r="K981" t="s">
        <v>3883</v>
      </c>
      <c r="L981" t="s">
        <v>86</v>
      </c>
      <c r="M981" t="s">
        <v>21</v>
      </c>
    </row>
    <row r="982" spans="1:13" x14ac:dyDescent="0.35">
      <c r="A982" t="str">
        <f>"228-7911"</f>
        <v>228-7911</v>
      </c>
      <c r="B982" t="s">
        <v>3885</v>
      </c>
      <c r="C982" t="str">
        <f>"4236"</f>
        <v>4236</v>
      </c>
      <c r="E982" t="s">
        <v>789</v>
      </c>
      <c r="F982" t="s">
        <v>24</v>
      </c>
      <c r="G982" t="s">
        <v>790</v>
      </c>
      <c r="H982" t="s">
        <v>17</v>
      </c>
      <c r="I982" t="s">
        <v>18</v>
      </c>
      <c r="J982" t="str">
        <f>"4384025467"</f>
        <v>4384025467</v>
      </c>
      <c r="K982" t="s">
        <v>3886</v>
      </c>
      <c r="L982" t="s">
        <v>220</v>
      </c>
      <c r="M982" t="s">
        <v>21</v>
      </c>
    </row>
    <row r="983" spans="1:13" x14ac:dyDescent="0.35">
      <c r="A983" t="str">
        <f>"232-8870"</f>
        <v>232-8870</v>
      </c>
      <c r="B983" t="s">
        <v>3887</v>
      </c>
      <c r="C983" t="str">
        <f>"1385"</f>
        <v>1385</v>
      </c>
      <c r="D983" t="str">
        <f>"22"</f>
        <v>22</v>
      </c>
      <c r="E983" t="s">
        <v>942</v>
      </c>
      <c r="F983" t="s">
        <v>24</v>
      </c>
      <c r="G983" t="s">
        <v>943</v>
      </c>
      <c r="H983" t="s">
        <v>17</v>
      </c>
      <c r="I983" t="s">
        <v>18</v>
      </c>
      <c r="J983" t="str">
        <f>"4389200244"</f>
        <v>4389200244</v>
      </c>
      <c r="K983" t="s">
        <v>3888</v>
      </c>
      <c r="L983" t="s">
        <v>438</v>
      </c>
      <c r="M983" t="s">
        <v>21</v>
      </c>
    </row>
    <row r="984" spans="1:13" x14ac:dyDescent="0.35">
      <c r="A984" t="str">
        <f>"117-6320"</f>
        <v>117-6320</v>
      </c>
      <c r="B984" t="s">
        <v>3889</v>
      </c>
      <c r="C984" t="str">
        <f>"6681"</f>
        <v>6681</v>
      </c>
      <c r="E984" t="s">
        <v>286</v>
      </c>
      <c r="F984" t="s">
        <v>24</v>
      </c>
      <c r="G984" t="s">
        <v>1049</v>
      </c>
      <c r="H984" t="s">
        <v>17</v>
      </c>
      <c r="I984" t="s">
        <v>18</v>
      </c>
      <c r="J984" t="str">
        <f>"5148392130"</f>
        <v>5148392130</v>
      </c>
      <c r="K984" t="s">
        <v>3890</v>
      </c>
      <c r="L984" t="s">
        <v>220</v>
      </c>
      <c r="M984" t="s">
        <v>21</v>
      </c>
    </row>
    <row r="985" spans="1:13" x14ac:dyDescent="0.35">
      <c r="A985" t="str">
        <f>"163-0695"</f>
        <v>163-0695</v>
      </c>
      <c r="B985" t="s">
        <v>3891</v>
      </c>
      <c r="C985" t="str">
        <f>"1225"</f>
        <v>1225</v>
      </c>
      <c r="D985" t="str">
        <f>"308"</f>
        <v>308</v>
      </c>
      <c r="E985" t="s">
        <v>2104</v>
      </c>
      <c r="F985" t="s">
        <v>24</v>
      </c>
      <c r="G985" t="s">
        <v>3892</v>
      </c>
      <c r="H985" t="s">
        <v>17</v>
      </c>
      <c r="I985" t="s">
        <v>18</v>
      </c>
      <c r="J985" t="str">
        <f>"8195744791"</f>
        <v>8195744791</v>
      </c>
      <c r="K985" t="s">
        <v>3893</v>
      </c>
      <c r="L985" t="s">
        <v>193</v>
      </c>
      <c r="M985" t="s">
        <v>21</v>
      </c>
    </row>
    <row r="986" spans="1:13" x14ac:dyDescent="0.35">
      <c r="A986" t="str">
        <f>"164-9962"</f>
        <v>164-9962</v>
      </c>
      <c r="B986" t="s">
        <v>3894</v>
      </c>
      <c r="C986" t="str">
        <f>"8954"</f>
        <v>8954</v>
      </c>
      <c r="D986" t="str">
        <f>"A"</f>
        <v>A</v>
      </c>
      <c r="E986" t="s">
        <v>1723</v>
      </c>
      <c r="F986" t="s">
        <v>24</v>
      </c>
      <c r="G986" t="s">
        <v>3895</v>
      </c>
      <c r="H986" t="s">
        <v>17</v>
      </c>
      <c r="I986" t="s">
        <v>18</v>
      </c>
      <c r="J986" t="str">
        <f>"4507120670"</f>
        <v>4507120670</v>
      </c>
      <c r="K986" t="s">
        <v>3896</v>
      </c>
      <c r="L986" t="s">
        <v>76</v>
      </c>
      <c r="M986" t="s">
        <v>21</v>
      </c>
    </row>
    <row r="987" spans="1:13" x14ac:dyDescent="0.35">
      <c r="A987" t="str">
        <f>"167-0228"</f>
        <v>167-0228</v>
      </c>
      <c r="B987" t="s">
        <v>3897</v>
      </c>
      <c r="C987" t="str">
        <f>"300"</f>
        <v>300</v>
      </c>
      <c r="E987" t="s">
        <v>635</v>
      </c>
      <c r="F987" t="s">
        <v>3898</v>
      </c>
      <c r="G987" t="s">
        <v>3899</v>
      </c>
      <c r="H987" t="s">
        <v>17</v>
      </c>
      <c r="I987" t="s">
        <v>18</v>
      </c>
      <c r="J987" t="str">
        <f>"4384915513"</f>
        <v>4384915513</v>
      </c>
      <c r="K987" t="s">
        <v>3900</v>
      </c>
      <c r="L987" t="s">
        <v>198</v>
      </c>
      <c r="M987" t="s">
        <v>21</v>
      </c>
    </row>
    <row r="988" spans="1:13" x14ac:dyDescent="0.35">
      <c r="A988" t="str">
        <f>"194-1701"</f>
        <v>194-1701</v>
      </c>
      <c r="B988" t="s">
        <v>3901</v>
      </c>
      <c r="C988" t="str">
        <f>"8518"</f>
        <v>8518</v>
      </c>
      <c r="E988" t="s">
        <v>3902</v>
      </c>
      <c r="F988" t="s">
        <v>24</v>
      </c>
      <c r="G988" t="s">
        <v>3903</v>
      </c>
      <c r="H988" t="s">
        <v>17</v>
      </c>
      <c r="I988" t="s">
        <v>18</v>
      </c>
      <c r="J988" t="str">
        <f>"4388555146"</f>
        <v>4388555146</v>
      </c>
      <c r="K988" t="s">
        <v>3904</v>
      </c>
      <c r="L988" t="s">
        <v>168</v>
      </c>
      <c r="M988" t="s">
        <v>21</v>
      </c>
    </row>
    <row r="989" spans="1:13" x14ac:dyDescent="0.35">
      <c r="A989" t="str">
        <f>"224-6011"</f>
        <v>224-6011</v>
      </c>
      <c r="B989" t="s">
        <v>3905</v>
      </c>
      <c r="C989" t="str">
        <f>"11089"</f>
        <v>11089</v>
      </c>
      <c r="E989" t="s">
        <v>3906</v>
      </c>
      <c r="F989" t="s">
        <v>24</v>
      </c>
      <c r="G989" t="s">
        <v>3907</v>
      </c>
      <c r="H989" t="s">
        <v>17</v>
      </c>
      <c r="I989" t="s">
        <v>18</v>
      </c>
      <c r="J989" t="str">
        <f>"5142790002"</f>
        <v>5142790002</v>
      </c>
      <c r="K989" t="s">
        <v>3908</v>
      </c>
      <c r="L989" t="s">
        <v>207</v>
      </c>
      <c r="M989" t="s">
        <v>21</v>
      </c>
    </row>
    <row r="990" spans="1:13" x14ac:dyDescent="0.35">
      <c r="A990" t="str">
        <f>"227-6986"</f>
        <v>227-6986</v>
      </c>
      <c r="B990" t="s">
        <v>3909</v>
      </c>
      <c r="C990" t="str">
        <f>"6762"</f>
        <v>6762</v>
      </c>
      <c r="D990" t="str">
        <f>"62"</f>
        <v>62</v>
      </c>
      <c r="E990" t="s">
        <v>3910</v>
      </c>
      <c r="F990" t="s">
        <v>24</v>
      </c>
      <c r="G990" t="s">
        <v>3911</v>
      </c>
      <c r="H990" t="s">
        <v>17</v>
      </c>
      <c r="I990" t="s">
        <v>18</v>
      </c>
      <c r="J990" t="str">
        <f>"4385205157"</f>
        <v>4385205157</v>
      </c>
      <c r="K990" t="s">
        <v>3912</v>
      </c>
      <c r="L990" t="s">
        <v>396</v>
      </c>
      <c r="M990" t="s">
        <v>21</v>
      </c>
    </row>
    <row r="991" spans="1:13" x14ac:dyDescent="0.35">
      <c r="A991" t="str">
        <f>"232-0111"</f>
        <v>232-0111</v>
      </c>
      <c r="B991" t="s">
        <v>3913</v>
      </c>
      <c r="C991" t="str">
        <f>"2017"</f>
        <v>2017</v>
      </c>
      <c r="E991" t="s">
        <v>3914</v>
      </c>
      <c r="F991" t="s">
        <v>54</v>
      </c>
      <c r="G991" t="s">
        <v>3915</v>
      </c>
      <c r="H991" t="s">
        <v>17</v>
      </c>
      <c r="I991" t="s">
        <v>18</v>
      </c>
      <c r="J991" t="str">
        <f>"4382827417"</f>
        <v>4382827417</v>
      </c>
      <c r="K991" t="s">
        <v>3916</v>
      </c>
      <c r="L991" t="s">
        <v>27</v>
      </c>
      <c r="M991" t="s">
        <v>21</v>
      </c>
    </row>
    <row r="992" spans="1:13" x14ac:dyDescent="0.35">
      <c r="A992" t="str">
        <f>"232-3320"</f>
        <v>232-3320</v>
      </c>
      <c r="B992" t="s">
        <v>3917</v>
      </c>
      <c r="C992" t="str">
        <f>"1610"</f>
        <v>1610</v>
      </c>
      <c r="D992" t="str">
        <f>"02"</f>
        <v>02</v>
      </c>
      <c r="E992" t="s">
        <v>3918</v>
      </c>
      <c r="F992" t="s">
        <v>3397</v>
      </c>
      <c r="G992" t="s">
        <v>3919</v>
      </c>
      <c r="H992" t="s">
        <v>17</v>
      </c>
      <c r="I992" t="s">
        <v>18</v>
      </c>
      <c r="J992" t="str">
        <f>"4384584950"</f>
        <v>4384584950</v>
      </c>
      <c r="K992" t="s">
        <v>3920</v>
      </c>
      <c r="L992" t="s">
        <v>76</v>
      </c>
      <c r="M992" t="s">
        <v>21</v>
      </c>
    </row>
    <row r="993" spans="1:13" x14ac:dyDescent="0.35">
      <c r="A993" t="str">
        <f>"232-3780"</f>
        <v>232-3780</v>
      </c>
      <c r="B993" t="s">
        <v>3921</v>
      </c>
      <c r="C993" t="str">
        <f>"5958"</f>
        <v>5958</v>
      </c>
      <c r="E993" t="s">
        <v>1055</v>
      </c>
      <c r="F993" t="s">
        <v>24</v>
      </c>
      <c r="G993" t="s">
        <v>3922</v>
      </c>
      <c r="H993" t="s">
        <v>17</v>
      </c>
      <c r="I993" t="s">
        <v>18</v>
      </c>
      <c r="J993" t="str">
        <f>"5145762852"</f>
        <v>5145762852</v>
      </c>
      <c r="K993" t="s">
        <v>3923</v>
      </c>
      <c r="L993" t="s">
        <v>168</v>
      </c>
      <c r="M993" t="s">
        <v>21</v>
      </c>
    </row>
    <row r="994" spans="1:13" x14ac:dyDescent="0.35">
      <c r="A994" t="str">
        <f>"207-4560"</f>
        <v>207-4560</v>
      </c>
      <c r="B994" t="s">
        <v>3924</v>
      </c>
      <c r="C994" t="str">
        <f>"3048"</f>
        <v>3048</v>
      </c>
      <c r="E994" t="s">
        <v>3771</v>
      </c>
      <c r="F994" t="s">
        <v>866</v>
      </c>
      <c r="G994" t="s">
        <v>3925</v>
      </c>
      <c r="H994" t="s">
        <v>17</v>
      </c>
      <c r="I994" t="s">
        <v>18</v>
      </c>
      <c r="J994" t="str">
        <f>"4388660111"</f>
        <v>4388660111</v>
      </c>
      <c r="K994" t="s">
        <v>3926</v>
      </c>
      <c r="L994" t="s">
        <v>396</v>
      </c>
      <c r="M994" t="s">
        <v>21</v>
      </c>
    </row>
    <row r="995" spans="1:13" x14ac:dyDescent="0.35">
      <c r="A995" t="str">
        <f>"233-7486"</f>
        <v>233-7486</v>
      </c>
      <c r="B995" t="s">
        <v>3927</v>
      </c>
      <c r="C995" t="str">
        <f>"3416"</f>
        <v>3416</v>
      </c>
      <c r="D995" t="str">
        <f>"1"</f>
        <v>1</v>
      </c>
      <c r="E995" t="s">
        <v>234</v>
      </c>
      <c r="F995" t="s">
        <v>24</v>
      </c>
      <c r="G995" t="s">
        <v>235</v>
      </c>
      <c r="H995" t="s">
        <v>17</v>
      </c>
      <c r="I995" t="s">
        <v>18</v>
      </c>
      <c r="J995" t="str">
        <f>"5144048405"</f>
        <v>5144048405</v>
      </c>
      <c r="K995" t="s">
        <v>3928</v>
      </c>
      <c r="L995" t="s">
        <v>27</v>
      </c>
      <c r="M995" t="s">
        <v>21</v>
      </c>
    </row>
    <row r="996" spans="1:13" x14ac:dyDescent="0.35">
      <c r="A996" t="str">
        <f>"233-7920"</f>
        <v>233-7920</v>
      </c>
      <c r="B996" t="s">
        <v>3929</v>
      </c>
      <c r="C996" t="str">
        <f>"12005"</f>
        <v>12005</v>
      </c>
      <c r="E996" t="s">
        <v>3930</v>
      </c>
      <c r="F996" t="s">
        <v>24</v>
      </c>
      <c r="G996" t="s">
        <v>3931</v>
      </c>
      <c r="H996" t="s">
        <v>17</v>
      </c>
      <c r="I996" t="s">
        <v>18</v>
      </c>
      <c r="J996" t="str">
        <f>"5145673625"</f>
        <v>5145673625</v>
      </c>
      <c r="K996" t="s">
        <v>3932</v>
      </c>
      <c r="L996" t="s">
        <v>438</v>
      </c>
      <c r="M996" t="s">
        <v>21</v>
      </c>
    </row>
    <row r="997" spans="1:13" x14ac:dyDescent="0.35">
      <c r="A997" t="str">
        <f>"233-8772"</f>
        <v>233-8772</v>
      </c>
      <c r="B997" t="s">
        <v>3933</v>
      </c>
      <c r="C997" t="str">
        <f>"6688"</f>
        <v>6688</v>
      </c>
      <c r="D997" t="str">
        <f>"5"</f>
        <v>5</v>
      </c>
      <c r="E997" t="s">
        <v>286</v>
      </c>
      <c r="F997" t="s">
        <v>24</v>
      </c>
      <c r="G997" t="s">
        <v>3934</v>
      </c>
      <c r="H997" t="s">
        <v>17</v>
      </c>
      <c r="I997" t="s">
        <v>18</v>
      </c>
      <c r="J997" t="str">
        <f>"5144246566"</f>
        <v>5144246566</v>
      </c>
      <c r="K997" t="s">
        <v>3935</v>
      </c>
      <c r="L997" t="s">
        <v>313</v>
      </c>
      <c r="M997" t="s">
        <v>21</v>
      </c>
    </row>
    <row r="998" spans="1:13" x14ac:dyDescent="0.35">
      <c r="A998" t="str">
        <f>"233-8564"</f>
        <v>233-8564</v>
      </c>
      <c r="B998" t="s">
        <v>3936</v>
      </c>
      <c r="C998" t="str">
        <f>"7440"</f>
        <v>7440</v>
      </c>
      <c r="D998" t="str">
        <f>"425"</f>
        <v>425</v>
      </c>
      <c r="E998" t="s">
        <v>847</v>
      </c>
      <c r="F998" t="s">
        <v>40</v>
      </c>
      <c r="G998" t="s">
        <v>3937</v>
      </c>
      <c r="H998" t="s">
        <v>17</v>
      </c>
      <c r="I998" t="s">
        <v>18</v>
      </c>
      <c r="J998" t="str">
        <f>"5145719117"</f>
        <v>5145719117</v>
      </c>
      <c r="K998" t="s">
        <v>3938</v>
      </c>
      <c r="L998" t="s">
        <v>220</v>
      </c>
      <c r="M998" t="s">
        <v>21</v>
      </c>
    </row>
    <row r="999" spans="1:13" x14ac:dyDescent="0.35">
      <c r="A999" t="str">
        <f>"233-8663"</f>
        <v>233-8663</v>
      </c>
      <c r="B999" t="s">
        <v>3939</v>
      </c>
      <c r="C999" t="str">
        <f>"7149"</f>
        <v>7149</v>
      </c>
      <c r="E999" t="s">
        <v>75</v>
      </c>
      <c r="F999" t="s">
        <v>24</v>
      </c>
      <c r="G999" t="s">
        <v>1381</v>
      </c>
      <c r="H999" t="s">
        <v>17</v>
      </c>
      <c r="I999" t="s">
        <v>18</v>
      </c>
      <c r="J999" t="str">
        <f>"5145828198"</f>
        <v>5145828198</v>
      </c>
      <c r="K999" t="s">
        <v>3940</v>
      </c>
      <c r="L999" t="s">
        <v>20</v>
      </c>
      <c r="M999" t="s">
        <v>21</v>
      </c>
    </row>
    <row r="1000" spans="1:13" x14ac:dyDescent="0.35">
      <c r="A1000" t="str">
        <f>"192-7391"</f>
        <v>192-7391</v>
      </c>
      <c r="B1000" t="s">
        <v>3941</v>
      </c>
      <c r="C1000" t="str">
        <f>"7390"</f>
        <v>7390</v>
      </c>
      <c r="D1000" t="str">
        <f>"2"</f>
        <v>2</v>
      </c>
      <c r="E1000" t="s">
        <v>3942</v>
      </c>
      <c r="F1000" t="s">
        <v>656</v>
      </c>
      <c r="G1000" t="s">
        <v>1739</v>
      </c>
      <c r="H1000" t="s">
        <v>17</v>
      </c>
      <c r="I1000" t="s">
        <v>18</v>
      </c>
      <c r="J1000" t="str">
        <f>"4383497610"</f>
        <v>4383497610</v>
      </c>
      <c r="K1000" t="s">
        <v>3943</v>
      </c>
      <c r="L1000" t="s">
        <v>27</v>
      </c>
      <c r="M1000" t="s">
        <v>21</v>
      </c>
    </row>
    <row r="1001" spans="1:13" x14ac:dyDescent="0.35">
      <c r="A1001" t="str">
        <f>"223-0890"</f>
        <v>223-0890</v>
      </c>
      <c r="B1001" t="s">
        <v>3944</v>
      </c>
      <c r="C1001" t="str">
        <f>"40"</f>
        <v>40</v>
      </c>
      <c r="E1001" t="s">
        <v>3945</v>
      </c>
      <c r="F1001" t="s">
        <v>157</v>
      </c>
      <c r="G1001" t="s">
        <v>3946</v>
      </c>
      <c r="H1001" t="s">
        <v>17</v>
      </c>
      <c r="I1001" t="s">
        <v>18</v>
      </c>
      <c r="J1001" t="str">
        <f>"4384590170"</f>
        <v>4384590170</v>
      </c>
      <c r="K1001" t="s">
        <v>3947</v>
      </c>
      <c r="L1001" t="s">
        <v>168</v>
      </c>
      <c r="M1001" t="s">
        <v>21</v>
      </c>
    </row>
    <row r="1002" spans="1:13" x14ac:dyDescent="0.35">
      <c r="A1002" t="str">
        <f>"229-3541"</f>
        <v>229-3541</v>
      </c>
      <c r="B1002" t="s">
        <v>3948</v>
      </c>
      <c r="C1002" t="str">
        <f>"6217"</f>
        <v>6217</v>
      </c>
      <c r="E1002" t="s">
        <v>3949</v>
      </c>
      <c r="F1002" t="s">
        <v>24</v>
      </c>
      <c r="G1002" t="s">
        <v>3950</v>
      </c>
      <c r="H1002" t="s">
        <v>17</v>
      </c>
      <c r="I1002" t="s">
        <v>18</v>
      </c>
      <c r="J1002" t="str">
        <f>"5144026756"</f>
        <v>5144026756</v>
      </c>
      <c r="K1002" t="s">
        <v>3951</v>
      </c>
      <c r="L1002" t="s">
        <v>220</v>
      </c>
      <c r="M1002" t="s">
        <v>21</v>
      </c>
    </row>
    <row r="1003" spans="1:13" x14ac:dyDescent="0.35">
      <c r="A1003" t="str">
        <f>"231-3490"</f>
        <v>231-3490</v>
      </c>
      <c r="B1003" t="s">
        <v>3952</v>
      </c>
      <c r="C1003" t="str">
        <f>"7400"</f>
        <v>7400</v>
      </c>
      <c r="D1003" t="str">
        <f>"419"</f>
        <v>419</v>
      </c>
      <c r="E1003" t="s">
        <v>544</v>
      </c>
      <c r="F1003" t="s">
        <v>24</v>
      </c>
      <c r="G1003" t="s">
        <v>3953</v>
      </c>
      <c r="H1003" t="s">
        <v>17</v>
      </c>
      <c r="I1003" t="s">
        <v>18</v>
      </c>
      <c r="J1003" t="str">
        <f>"4389254610"</f>
        <v>4389254610</v>
      </c>
      <c r="K1003" t="s">
        <v>3954</v>
      </c>
      <c r="L1003" t="s">
        <v>168</v>
      </c>
      <c r="M1003" t="s">
        <v>21</v>
      </c>
    </row>
    <row r="1004" spans="1:13" x14ac:dyDescent="0.35">
      <c r="A1004" t="str">
        <f>"231-4791"</f>
        <v>231-4791</v>
      </c>
      <c r="B1004" t="s">
        <v>3955</v>
      </c>
      <c r="C1004" t="str">
        <f>"2066"</f>
        <v>2066</v>
      </c>
      <c r="E1004" t="s">
        <v>2100</v>
      </c>
      <c r="F1004" t="s">
        <v>24</v>
      </c>
      <c r="G1004" t="s">
        <v>2101</v>
      </c>
      <c r="H1004" t="s">
        <v>17</v>
      </c>
      <c r="I1004" t="s">
        <v>18</v>
      </c>
      <c r="J1004" t="str">
        <f>"4386301138"</f>
        <v>4386301138</v>
      </c>
      <c r="K1004" t="s">
        <v>3956</v>
      </c>
      <c r="L1004" t="s">
        <v>438</v>
      </c>
      <c r="M1004" t="s">
        <v>21</v>
      </c>
    </row>
    <row r="1005" spans="1:13" x14ac:dyDescent="0.35">
      <c r="A1005" t="str">
        <f>"233-5335"</f>
        <v>233-5335</v>
      </c>
      <c r="B1005" t="s">
        <v>3957</v>
      </c>
      <c r="C1005" t="str">
        <f>"5125"</f>
        <v>5125</v>
      </c>
      <c r="D1005" t="str">
        <f>"3"</f>
        <v>3</v>
      </c>
      <c r="E1005" t="s">
        <v>238</v>
      </c>
      <c r="F1005" t="s">
        <v>24</v>
      </c>
      <c r="G1005" t="s">
        <v>3958</v>
      </c>
      <c r="H1005" t="s">
        <v>17</v>
      </c>
      <c r="I1005" t="s">
        <v>18</v>
      </c>
      <c r="J1005" t="str">
        <f>"4182913616"</f>
        <v>4182913616</v>
      </c>
      <c r="K1005" t="s">
        <v>3959</v>
      </c>
      <c r="L1005" t="s">
        <v>20</v>
      </c>
      <c r="M1005" t="s">
        <v>21</v>
      </c>
    </row>
    <row r="1006" spans="1:13" x14ac:dyDescent="0.35">
      <c r="A1006" t="str">
        <f>"617-3407"</f>
        <v>617-3407</v>
      </c>
      <c r="B1006" t="s">
        <v>3960</v>
      </c>
      <c r="C1006" t="str">
        <f>"100"</f>
        <v>100</v>
      </c>
      <c r="E1006" t="s">
        <v>3961</v>
      </c>
      <c r="F1006" t="s">
        <v>32</v>
      </c>
      <c r="G1006" t="s">
        <v>3962</v>
      </c>
      <c r="H1006" t="s">
        <v>17</v>
      </c>
      <c r="I1006" t="s">
        <v>18</v>
      </c>
      <c r="J1006" t="str">
        <f>"5149687170"</f>
        <v>5149687170</v>
      </c>
      <c r="K1006" t="s">
        <v>3963</v>
      </c>
      <c r="L1006" t="s">
        <v>86</v>
      </c>
      <c r="M1006" t="s">
        <v>21</v>
      </c>
    </row>
    <row r="1007" spans="1:13" x14ac:dyDescent="0.35">
      <c r="A1007" t="str">
        <f>"177-5928"</f>
        <v>177-5928</v>
      </c>
      <c r="B1007" t="s">
        <v>3964</v>
      </c>
      <c r="C1007" t="str">
        <f>"1889"</f>
        <v>1889</v>
      </c>
      <c r="E1007" t="s">
        <v>3965</v>
      </c>
      <c r="F1007" t="s">
        <v>3966</v>
      </c>
      <c r="G1007" t="s">
        <v>3967</v>
      </c>
      <c r="H1007" t="s">
        <v>17</v>
      </c>
      <c r="I1007" t="s">
        <v>18</v>
      </c>
      <c r="J1007" t="str">
        <f>"5142528607"</f>
        <v>5142528607</v>
      </c>
      <c r="K1007" t="s">
        <v>3968</v>
      </c>
      <c r="L1007" t="s">
        <v>534</v>
      </c>
      <c r="M1007" t="s">
        <v>21</v>
      </c>
    </row>
    <row r="1008" spans="1:13" x14ac:dyDescent="0.35">
      <c r="A1008" t="str">
        <f>"216-8523"</f>
        <v>216-8523</v>
      </c>
      <c r="B1008" t="s">
        <v>3969</v>
      </c>
      <c r="C1008" t="str">
        <f>"8262"</f>
        <v>8262</v>
      </c>
      <c r="E1008" t="s">
        <v>85</v>
      </c>
      <c r="F1008" t="s">
        <v>24</v>
      </c>
      <c r="G1008" t="s">
        <v>3970</v>
      </c>
      <c r="H1008" t="s">
        <v>17</v>
      </c>
      <c r="I1008" t="s">
        <v>18</v>
      </c>
      <c r="J1008" t="str">
        <f>"5142604118"</f>
        <v>5142604118</v>
      </c>
      <c r="K1008" t="s">
        <v>3971</v>
      </c>
      <c r="L1008" t="s">
        <v>168</v>
      </c>
      <c r="M1008" t="s">
        <v>21</v>
      </c>
    </row>
    <row r="1009" spans="1:13" x14ac:dyDescent="0.35">
      <c r="A1009" t="str">
        <f>"226-5688"</f>
        <v>226-5688</v>
      </c>
      <c r="B1009" t="s">
        <v>3972</v>
      </c>
      <c r="C1009" t="str">
        <f>"8415"</f>
        <v>8415</v>
      </c>
      <c r="E1009" t="s">
        <v>759</v>
      </c>
      <c r="F1009" t="s">
        <v>24</v>
      </c>
      <c r="G1009" t="s">
        <v>760</v>
      </c>
      <c r="H1009" t="s">
        <v>17</v>
      </c>
      <c r="I1009" t="s">
        <v>18</v>
      </c>
      <c r="J1009" t="str">
        <f>"5145078243"</f>
        <v>5145078243</v>
      </c>
      <c r="K1009" t="s">
        <v>3973</v>
      </c>
      <c r="L1009" t="s">
        <v>88</v>
      </c>
      <c r="M1009" t="s">
        <v>21</v>
      </c>
    </row>
    <row r="1010" spans="1:13" x14ac:dyDescent="0.35">
      <c r="A1010" t="str">
        <f>"213-5720"</f>
        <v>213-5720</v>
      </c>
      <c r="B1010" t="s">
        <v>3974</v>
      </c>
      <c r="C1010" t="str">
        <f>"369"</f>
        <v>369</v>
      </c>
      <c r="E1010" t="s">
        <v>3975</v>
      </c>
      <c r="F1010" t="s">
        <v>32</v>
      </c>
      <c r="G1010" t="s">
        <v>3976</v>
      </c>
      <c r="H1010" t="s">
        <v>17</v>
      </c>
      <c r="I1010" t="s">
        <v>18</v>
      </c>
      <c r="J1010" t="str">
        <f>"5144489584"</f>
        <v>5144489584</v>
      </c>
      <c r="K1010" t="s">
        <v>3977</v>
      </c>
      <c r="L1010" t="s">
        <v>76</v>
      </c>
      <c r="M1010" t="s">
        <v>21</v>
      </c>
    </row>
    <row r="1011" spans="1:13" x14ac:dyDescent="0.35">
      <c r="A1011" t="str">
        <f>"213-3389"</f>
        <v>213-3389</v>
      </c>
      <c r="B1011" t="s">
        <v>3978</v>
      </c>
      <c r="C1011" t="str">
        <f>"4414"</f>
        <v>4414</v>
      </c>
      <c r="D1011" t="str">
        <f>"6"</f>
        <v>6</v>
      </c>
      <c r="E1011" t="s">
        <v>78</v>
      </c>
      <c r="F1011" t="s">
        <v>24</v>
      </c>
      <c r="G1011" t="s">
        <v>3979</v>
      </c>
      <c r="H1011" t="s">
        <v>17</v>
      </c>
      <c r="I1011" t="s">
        <v>18</v>
      </c>
      <c r="J1011" t="str">
        <f>"5146415696"</f>
        <v>5146415696</v>
      </c>
      <c r="K1011" t="s">
        <v>3980</v>
      </c>
      <c r="L1011" t="s">
        <v>396</v>
      </c>
      <c r="M1011" t="s">
        <v>21</v>
      </c>
    </row>
    <row r="1012" spans="1:13" x14ac:dyDescent="0.35">
      <c r="A1012" t="str">
        <f>"229-1924"</f>
        <v>229-1924</v>
      </c>
      <c r="B1012" t="s">
        <v>3981</v>
      </c>
      <c r="C1012" t="str">
        <f>"592"</f>
        <v>592</v>
      </c>
      <c r="E1012" t="s">
        <v>3982</v>
      </c>
      <c r="F1012" t="s">
        <v>3983</v>
      </c>
      <c r="G1012" t="s">
        <v>3984</v>
      </c>
      <c r="H1012" t="s">
        <v>17</v>
      </c>
      <c r="I1012" t="s">
        <v>18</v>
      </c>
      <c r="J1012" t="str">
        <f>"5142467833"</f>
        <v>5142467833</v>
      </c>
      <c r="K1012" t="s">
        <v>3985</v>
      </c>
      <c r="L1012" t="s">
        <v>76</v>
      </c>
      <c r="M1012" t="s">
        <v>21</v>
      </c>
    </row>
    <row r="1013" spans="1:13" x14ac:dyDescent="0.35">
      <c r="A1013" t="str">
        <f>"229-2583"</f>
        <v>229-2583</v>
      </c>
      <c r="B1013" t="s">
        <v>3986</v>
      </c>
      <c r="C1013" t="str">
        <f>"900"</f>
        <v>900</v>
      </c>
      <c r="D1013" t="str">
        <f>"21"</f>
        <v>21</v>
      </c>
      <c r="E1013" t="s">
        <v>3489</v>
      </c>
      <c r="F1013" t="s">
        <v>32</v>
      </c>
      <c r="G1013" t="s">
        <v>3987</v>
      </c>
      <c r="H1013" t="s">
        <v>17</v>
      </c>
      <c r="I1013" t="s">
        <v>18</v>
      </c>
      <c r="J1013" t="str">
        <f>"5142496844"</f>
        <v>5142496844</v>
      </c>
      <c r="K1013" t="s">
        <v>3988</v>
      </c>
      <c r="L1013" t="s">
        <v>76</v>
      </c>
      <c r="M1013" t="s">
        <v>21</v>
      </c>
    </row>
    <row r="1014" spans="1:13" x14ac:dyDescent="0.35">
      <c r="A1014" t="str">
        <f>"231-9156"</f>
        <v>231-9156</v>
      </c>
      <c r="B1014" t="s">
        <v>3989</v>
      </c>
      <c r="C1014" t="str">
        <f>"1917"</f>
        <v>1917</v>
      </c>
      <c r="E1014" t="s">
        <v>3990</v>
      </c>
      <c r="F1014" t="s">
        <v>143</v>
      </c>
      <c r="G1014" t="s">
        <v>3991</v>
      </c>
      <c r="H1014" t="s">
        <v>17</v>
      </c>
      <c r="I1014" t="s">
        <v>18</v>
      </c>
      <c r="J1014" t="str">
        <f>"4385207416"</f>
        <v>4385207416</v>
      </c>
      <c r="K1014" t="s">
        <v>3992</v>
      </c>
      <c r="L1014" t="s">
        <v>27</v>
      </c>
      <c r="M1014" t="s">
        <v>21</v>
      </c>
    </row>
    <row r="1015" spans="1:13" x14ac:dyDescent="0.35">
      <c r="A1015" t="str">
        <f>"207-1236"</f>
        <v>207-1236</v>
      </c>
      <c r="B1015" t="s">
        <v>3993</v>
      </c>
      <c r="C1015" t="str">
        <f>"4709"</f>
        <v>4709</v>
      </c>
      <c r="E1015" t="s">
        <v>3994</v>
      </c>
      <c r="F1015" t="s">
        <v>24</v>
      </c>
      <c r="G1015" t="s">
        <v>3995</v>
      </c>
      <c r="H1015" t="s">
        <v>17</v>
      </c>
      <c r="I1015" t="s">
        <v>18</v>
      </c>
      <c r="J1015" t="str">
        <f>"5144735443"</f>
        <v>5144735443</v>
      </c>
      <c r="K1015" t="s">
        <v>3996</v>
      </c>
      <c r="L1015" t="s">
        <v>869</v>
      </c>
      <c r="M1015" t="s">
        <v>21</v>
      </c>
    </row>
    <row r="1016" spans="1:13" x14ac:dyDescent="0.35">
      <c r="A1016" t="str">
        <f>"233-0684"</f>
        <v>233-0684</v>
      </c>
      <c r="B1016" t="s">
        <v>3997</v>
      </c>
      <c r="C1016" t="str">
        <f>"2409"</f>
        <v>2409</v>
      </c>
      <c r="E1016" t="s">
        <v>3998</v>
      </c>
      <c r="F1016" t="s">
        <v>24</v>
      </c>
      <c r="G1016" t="s">
        <v>3999</v>
      </c>
      <c r="H1016" t="s">
        <v>17</v>
      </c>
      <c r="I1016" t="s">
        <v>18</v>
      </c>
      <c r="J1016" t="str">
        <f>"4384108743"</f>
        <v>4384108743</v>
      </c>
      <c r="K1016" t="s">
        <v>4000</v>
      </c>
      <c r="L1016" t="s">
        <v>874</v>
      </c>
      <c r="M1016" t="s">
        <v>21</v>
      </c>
    </row>
    <row r="1017" spans="1:13" x14ac:dyDescent="0.35">
      <c r="A1017" t="str">
        <f>"233-7390"</f>
        <v>233-7390</v>
      </c>
      <c r="B1017" t="s">
        <v>4001</v>
      </c>
      <c r="C1017" t="str">
        <f>"5995"</f>
        <v>5995</v>
      </c>
      <c r="D1017" t="str">
        <f>"522"</f>
        <v>522</v>
      </c>
      <c r="E1017" t="s">
        <v>4002</v>
      </c>
      <c r="F1017" t="s">
        <v>24</v>
      </c>
      <c r="G1017" t="s">
        <v>2527</v>
      </c>
      <c r="H1017" t="s">
        <v>17</v>
      </c>
      <c r="I1017" t="s">
        <v>18</v>
      </c>
      <c r="J1017" t="str">
        <f>"4382332947"</f>
        <v>4382332947</v>
      </c>
      <c r="K1017" t="s">
        <v>4003</v>
      </c>
      <c r="L1017" t="s">
        <v>4004</v>
      </c>
      <c r="M1017" t="s">
        <v>21</v>
      </c>
    </row>
    <row r="1018" spans="1:13" x14ac:dyDescent="0.35">
      <c r="A1018" t="str">
        <f>"234-6783"</f>
        <v>234-6783</v>
      </c>
      <c r="B1018" t="s">
        <v>4005</v>
      </c>
      <c r="C1018" t="str">
        <f>"245"</f>
        <v>245</v>
      </c>
      <c r="D1018" t="str">
        <f>"245"</f>
        <v>245</v>
      </c>
      <c r="E1018" t="s">
        <v>2484</v>
      </c>
      <c r="F1018" t="s">
        <v>24</v>
      </c>
      <c r="G1018" t="s">
        <v>1097</v>
      </c>
      <c r="H1018" t="s">
        <v>17</v>
      </c>
      <c r="I1018" t="s">
        <v>18</v>
      </c>
      <c r="J1018" t="str">
        <f>"4386008861"</f>
        <v>4386008861</v>
      </c>
      <c r="K1018" t="s">
        <v>4006</v>
      </c>
      <c r="L1018" t="s">
        <v>168</v>
      </c>
      <c r="M1018" t="s">
        <v>21</v>
      </c>
    </row>
    <row r="1019" spans="1:13" x14ac:dyDescent="0.35">
      <c r="A1019" t="str">
        <f>"237-2248"</f>
        <v>237-2248</v>
      </c>
      <c r="B1019" t="s">
        <v>4007</v>
      </c>
      <c r="I1019" t="s">
        <v>3666</v>
      </c>
      <c r="J1019" t="str">
        <f>"0636409414"</f>
        <v>0636409414</v>
      </c>
      <c r="K1019" t="s">
        <v>4008</v>
      </c>
      <c r="L1019" t="s">
        <v>168</v>
      </c>
      <c r="M1019" t="s">
        <v>21</v>
      </c>
    </row>
    <row r="1020" spans="1:13" x14ac:dyDescent="0.35">
      <c r="A1020" t="str">
        <f>"207-7457"</f>
        <v>207-7457</v>
      </c>
      <c r="B1020" t="s">
        <v>4009</v>
      </c>
      <c r="C1020" t="str">
        <f>"711"</f>
        <v>711</v>
      </c>
      <c r="E1020" t="s">
        <v>343</v>
      </c>
      <c r="F1020" t="s">
        <v>32</v>
      </c>
      <c r="G1020" t="s">
        <v>4010</v>
      </c>
      <c r="H1020" t="s">
        <v>17</v>
      </c>
      <c r="I1020" t="s">
        <v>18</v>
      </c>
      <c r="J1020" t="str">
        <f>"4385057221"</f>
        <v>4385057221</v>
      </c>
      <c r="K1020" t="s">
        <v>4011</v>
      </c>
      <c r="L1020" t="s">
        <v>2497</v>
      </c>
      <c r="M1020" t="s">
        <v>21</v>
      </c>
    </row>
    <row r="1021" spans="1:13" x14ac:dyDescent="0.35">
      <c r="A1021" t="str">
        <f>"233-8549"</f>
        <v>233-8549</v>
      </c>
      <c r="B1021" t="s">
        <v>4012</v>
      </c>
      <c r="C1021" t="str">
        <f>"3801"</f>
        <v>3801</v>
      </c>
      <c r="D1021" t="str">
        <f>"19"</f>
        <v>19</v>
      </c>
      <c r="E1021" t="s">
        <v>4013</v>
      </c>
      <c r="F1021" t="s">
        <v>3238</v>
      </c>
      <c r="G1021" t="s">
        <v>4014</v>
      </c>
      <c r="H1021" t="s">
        <v>17</v>
      </c>
      <c r="I1021" t="s">
        <v>18</v>
      </c>
      <c r="J1021" t="str">
        <f>"4385247101"</f>
        <v>4385247101</v>
      </c>
      <c r="K1021" t="s">
        <v>4015</v>
      </c>
      <c r="L1021" t="s">
        <v>1509</v>
      </c>
      <c r="M1021" t="s">
        <v>21</v>
      </c>
    </row>
    <row r="1022" spans="1:13" x14ac:dyDescent="0.35">
      <c r="A1022" t="str">
        <f>"235-8449"</f>
        <v>235-8449</v>
      </c>
      <c r="B1022" t="s">
        <v>4016</v>
      </c>
      <c r="C1022" t="str">
        <f>"3469"</f>
        <v>3469</v>
      </c>
      <c r="D1022" t="str">
        <f>"344"</f>
        <v>344</v>
      </c>
      <c r="E1022" t="s">
        <v>455</v>
      </c>
      <c r="F1022" t="s">
        <v>24</v>
      </c>
      <c r="G1022" t="s">
        <v>1097</v>
      </c>
      <c r="H1022" t="s">
        <v>17</v>
      </c>
      <c r="I1022" t="s">
        <v>18</v>
      </c>
      <c r="J1022" t="str">
        <f>"5143761620"</f>
        <v>5143761620</v>
      </c>
      <c r="K1022" t="s">
        <v>4017</v>
      </c>
      <c r="L1022" t="s">
        <v>874</v>
      </c>
      <c r="M1022" t="s">
        <v>21</v>
      </c>
    </row>
    <row r="1023" spans="1:13" x14ac:dyDescent="0.35">
      <c r="A1023" t="str">
        <f>"238-8913"</f>
        <v>238-8913</v>
      </c>
      <c r="B1023" t="s">
        <v>4018</v>
      </c>
      <c r="C1023" t="str">
        <f>"5065"</f>
        <v>5065</v>
      </c>
      <c r="D1023" t="str">
        <f>"5065"</f>
        <v>5065</v>
      </c>
      <c r="E1023" t="s">
        <v>4019</v>
      </c>
      <c r="F1023" t="s">
        <v>24</v>
      </c>
      <c r="G1023" t="s">
        <v>4020</v>
      </c>
      <c r="H1023" t="s">
        <v>17</v>
      </c>
      <c r="I1023" t="s">
        <v>18</v>
      </c>
      <c r="J1023" t="str">
        <f>"5146255065"</f>
        <v>5146255065</v>
      </c>
      <c r="K1023" t="s">
        <v>4021</v>
      </c>
      <c r="L1023" t="s">
        <v>86</v>
      </c>
      <c r="M1023" t="s">
        <v>21</v>
      </c>
    </row>
    <row r="1024" spans="1:13" x14ac:dyDescent="0.35">
      <c r="A1024" t="str">
        <f>"628-5788"</f>
        <v>628-5788</v>
      </c>
      <c r="B1024" t="s">
        <v>4022</v>
      </c>
      <c r="C1024" t="str">
        <f>"6742"</f>
        <v>6742</v>
      </c>
      <c r="D1024" t="str">
        <f>"6742"</f>
        <v>6742</v>
      </c>
      <c r="E1024" t="s">
        <v>4023</v>
      </c>
      <c r="F1024" t="s">
        <v>24</v>
      </c>
      <c r="G1024" t="s">
        <v>4024</v>
      </c>
      <c r="H1024" t="s">
        <v>17</v>
      </c>
      <c r="I1024" t="s">
        <v>18</v>
      </c>
      <c r="J1024" t="str">
        <f>"4383045519"</f>
        <v>4383045519</v>
      </c>
      <c r="K1024" t="s">
        <v>4025</v>
      </c>
      <c r="L1024" t="s">
        <v>4004</v>
      </c>
      <c r="M1024" t="s">
        <v>21</v>
      </c>
    </row>
    <row r="1025" spans="1:13" x14ac:dyDescent="0.35">
      <c r="A1025" t="str">
        <f>"223-8583"</f>
        <v>223-8583</v>
      </c>
      <c r="B1025" t="s">
        <v>4026</v>
      </c>
      <c r="I1025" t="s">
        <v>3666</v>
      </c>
      <c r="J1025" t="str">
        <f>"4388040370"</f>
        <v>4388040370</v>
      </c>
      <c r="K1025" t="s">
        <v>4027</v>
      </c>
      <c r="L1025" t="s">
        <v>869</v>
      </c>
      <c r="M1025" t="s">
        <v>21</v>
      </c>
    </row>
    <row r="1026" spans="1:13" x14ac:dyDescent="0.35">
      <c r="A1026" t="str">
        <f>"239-1926"</f>
        <v>239-1926</v>
      </c>
      <c r="B1026" t="s">
        <v>4028</v>
      </c>
      <c r="C1026" t="str">
        <f>"630"</f>
        <v>630</v>
      </c>
      <c r="D1026" t="str">
        <f>"1"</f>
        <v>1</v>
      </c>
      <c r="E1026" t="s">
        <v>4029</v>
      </c>
      <c r="F1026" t="s">
        <v>24</v>
      </c>
      <c r="G1026" t="s">
        <v>4030</v>
      </c>
      <c r="H1026" t="s">
        <v>17</v>
      </c>
      <c r="I1026" t="s">
        <v>18</v>
      </c>
      <c r="J1026" t="str">
        <f>"4388330389"</f>
        <v>4388330389</v>
      </c>
      <c r="K1026" t="s">
        <v>4031</v>
      </c>
      <c r="L1026" t="s">
        <v>869</v>
      </c>
      <c r="M1026" t="s">
        <v>21</v>
      </c>
    </row>
    <row r="1027" spans="1:13" x14ac:dyDescent="0.35">
      <c r="A1027" t="str">
        <f>"626-0691"</f>
        <v>626-0691</v>
      </c>
      <c r="B1027" t="s">
        <v>4032</v>
      </c>
      <c r="C1027" t="str">
        <f>"337"</f>
        <v>337</v>
      </c>
      <c r="E1027" t="s">
        <v>4033</v>
      </c>
      <c r="F1027" t="s">
        <v>4034</v>
      </c>
      <c r="G1027" t="s">
        <v>4035</v>
      </c>
      <c r="H1027" t="s">
        <v>17</v>
      </c>
      <c r="I1027" t="s">
        <v>18</v>
      </c>
      <c r="J1027" t="str">
        <f>"4388854127"</f>
        <v>4388854127</v>
      </c>
      <c r="K1027" t="s">
        <v>4036</v>
      </c>
      <c r="L1027" t="s">
        <v>20</v>
      </c>
      <c r="M1027" t="s">
        <v>21</v>
      </c>
    </row>
    <row r="1028" spans="1:13" x14ac:dyDescent="0.35">
      <c r="A1028" t="str">
        <f>"626-1195"</f>
        <v>626-1195</v>
      </c>
      <c r="B1028" t="s">
        <v>4037</v>
      </c>
      <c r="C1028" t="str">
        <f>"6115"</f>
        <v>6115</v>
      </c>
      <c r="E1028" t="s">
        <v>642</v>
      </c>
      <c r="F1028" t="s">
        <v>24</v>
      </c>
      <c r="G1028" t="s">
        <v>4038</v>
      </c>
      <c r="H1028" t="s">
        <v>17</v>
      </c>
      <c r="I1028" t="s">
        <v>18</v>
      </c>
      <c r="J1028" t="str">
        <f>"5146276263"</f>
        <v>5146276263</v>
      </c>
      <c r="K1028" t="s">
        <v>4039</v>
      </c>
      <c r="L1028" t="s">
        <v>396</v>
      </c>
      <c r="M1028" t="s">
        <v>21</v>
      </c>
    </row>
    <row r="1029" spans="1:13" x14ac:dyDescent="0.35">
      <c r="A1029" t="str">
        <f>"886-4794"</f>
        <v>886-4794</v>
      </c>
      <c r="B1029" t="s">
        <v>4040</v>
      </c>
      <c r="C1029" t="str">
        <f>"14105"</f>
        <v>14105</v>
      </c>
      <c r="E1029" t="s">
        <v>4041</v>
      </c>
      <c r="F1029" t="s">
        <v>1680</v>
      </c>
      <c r="G1029" t="s">
        <v>4042</v>
      </c>
      <c r="H1029" t="s">
        <v>17</v>
      </c>
      <c r="I1029" t="s">
        <v>18</v>
      </c>
      <c r="J1029" t="str">
        <f>"4385044732"</f>
        <v>4385044732</v>
      </c>
      <c r="K1029" t="s">
        <v>4043</v>
      </c>
      <c r="L1029" t="s">
        <v>20</v>
      </c>
      <c r="M1029" t="s">
        <v>21</v>
      </c>
    </row>
    <row r="1030" spans="1:13" x14ac:dyDescent="0.35">
      <c r="A1030" t="str">
        <f>"925-6157"</f>
        <v>925-6157</v>
      </c>
      <c r="B1030" t="s">
        <v>4044</v>
      </c>
      <c r="C1030" t="str">
        <f>"7704"</f>
        <v>7704</v>
      </c>
      <c r="D1030" t="str">
        <f>"3"</f>
        <v>3</v>
      </c>
      <c r="E1030" t="s">
        <v>1892</v>
      </c>
      <c r="F1030" t="s">
        <v>24</v>
      </c>
      <c r="G1030" t="s">
        <v>4045</v>
      </c>
      <c r="H1030" t="s">
        <v>17</v>
      </c>
      <c r="I1030" t="s">
        <v>18</v>
      </c>
      <c r="J1030" t="str">
        <f>"4383983375"</f>
        <v>4383983375</v>
      </c>
      <c r="K1030" t="s">
        <v>4046</v>
      </c>
      <c r="L1030" t="s">
        <v>20</v>
      </c>
      <c r="M1030" t="s">
        <v>21</v>
      </c>
    </row>
    <row r="1031" spans="1:13" x14ac:dyDescent="0.35">
      <c r="A1031" t="str">
        <f>"174-6599"</f>
        <v>174-6599</v>
      </c>
      <c r="B1031" t="s">
        <v>4047</v>
      </c>
      <c r="C1031" t="str">
        <f>"24"</f>
        <v>24</v>
      </c>
      <c r="D1031" t="str">
        <f>"1"</f>
        <v>1</v>
      </c>
      <c r="E1031" t="s">
        <v>4048</v>
      </c>
      <c r="F1031" t="s">
        <v>2722</v>
      </c>
      <c r="G1031" t="s">
        <v>2723</v>
      </c>
      <c r="H1031" t="s">
        <v>17</v>
      </c>
      <c r="I1031" t="s">
        <v>18</v>
      </c>
      <c r="J1031" t="str">
        <f>"4503706652"</f>
        <v>4503706652</v>
      </c>
      <c r="K1031" t="s">
        <v>4049</v>
      </c>
      <c r="L1031" t="s">
        <v>20</v>
      </c>
      <c r="M1031" t="s">
        <v>21</v>
      </c>
    </row>
    <row r="1032" spans="1:13" x14ac:dyDescent="0.35">
      <c r="A1032" t="str">
        <f>"195-7469"</f>
        <v>195-7469</v>
      </c>
      <c r="B1032" t="s">
        <v>4050</v>
      </c>
      <c r="C1032" t="str">
        <f>"6807"</f>
        <v>6807</v>
      </c>
      <c r="E1032" t="s">
        <v>356</v>
      </c>
      <c r="F1032" t="s">
        <v>24</v>
      </c>
      <c r="G1032" t="s">
        <v>357</v>
      </c>
      <c r="H1032" t="s">
        <v>17</v>
      </c>
      <c r="I1032" t="s">
        <v>18</v>
      </c>
      <c r="J1032" t="str">
        <f>"4383783337"</f>
        <v>4383783337</v>
      </c>
      <c r="K1032" t="s">
        <v>4051</v>
      </c>
      <c r="L1032" t="s">
        <v>132</v>
      </c>
      <c r="M1032" t="s">
        <v>21</v>
      </c>
    </row>
    <row r="1033" spans="1:13" x14ac:dyDescent="0.35">
      <c r="A1033" t="str">
        <f>"196-1658"</f>
        <v>196-1658</v>
      </c>
      <c r="B1033" t="s">
        <v>4052</v>
      </c>
      <c r="C1033" t="str">
        <f>"333"</f>
        <v>333</v>
      </c>
      <c r="E1033" t="s">
        <v>4053</v>
      </c>
      <c r="F1033" t="s">
        <v>4054</v>
      </c>
      <c r="G1033" t="s">
        <v>4055</v>
      </c>
      <c r="H1033" t="s">
        <v>17</v>
      </c>
      <c r="I1033" t="s">
        <v>18</v>
      </c>
      <c r="J1033" t="str">
        <f>"5142431416"</f>
        <v>5142431416</v>
      </c>
      <c r="K1033" t="s">
        <v>4056</v>
      </c>
      <c r="L1033" t="s">
        <v>319</v>
      </c>
      <c r="M1033" t="s">
        <v>21</v>
      </c>
    </row>
    <row r="1034" spans="1:13" x14ac:dyDescent="0.35">
      <c r="A1034" t="str">
        <f>"205-9864"</f>
        <v>205-9864</v>
      </c>
      <c r="B1034" t="s">
        <v>4057</v>
      </c>
      <c r="C1034" t="str">
        <f>"8580"</f>
        <v>8580</v>
      </c>
      <c r="E1034" t="s">
        <v>4058</v>
      </c>
      <c r="F1034" t="s">
        <v>24</v>
      </c>
      <c r="G1034" t="s">
        <v>4059</v>
      </c>
      <c r="H1034" t="s">
        <v>17</v>
      </c>
      <c r="I1034" t="s">
        <v>18</v>
      </c>
      <c r="J1034" t="str">
        <f>"5147506761"</f>
        <v>5147506761</v>
      </c>
      <c r="K1034" t="s">
        <v>4060</v>
      </c>
      <c r="L1034" t="s">
        <v>137</v>
      </c>
      <c r="M1034" t="s">
        <v>21</v>
      </c>
    </row>
    <row r="1035" spans="1:13" x14ac:dyDescent="0.35">
      <c r="A1035" t="str">
        <f>"228-8778"</f>
        <v>228-8778</v>
      </c>
      <c r="B1035" t="s">
        <v>4061</v>
      </c>
      <c r="C1035" t="str">
        <f>"3215"</f>
        <v>3215</v>
      </c>
      <c r="E1035" t="s">
        <v>3585</v>
      </c>
      <c r="F1035" t="s">
        <v>24</v>
      </c>
      <c r="G1035" t="s">
        <v>3460</v>
      </c>
      <c r="H1035" t="s">
        <v>17</v>
      </c>
      <c r="I1035" t="s">
        <v>18</v>
      </c>
      <c r="J1035" t="str">
        <f>"4384082518"</f>
        <v>4384082518</v>
      </c>
      <c r="K1035" t="s">
        <v>4062</v>
      </c>
      <c r="L1035" t="s">
        <v>168</v>
      </c>
      <c r="M1035" t="s">
        <v>21</v>
      </c>
    </row>
    <row r="1036" spans="1:13" x14ac:dyDescent="0.35">
      <c r="A1036" t="str">
        <f>"229-0349"</f>
        <v>229-0349</v>
      </c>
      <c r="B1036" t="s">
        <v>4063</v>
      </c>
      <c r="C1036" t="str">
        <f>"608"</f>
        <v>608</v>
      </c>
      <c r="E1036" t="s">
        <v>3573</v>
      </c>
      <c r="F1036" t="s">
        <v>157</v>
      </c>
      <c r="G1036" t="s">
        <v>4064</v>
      </c>
      <c r="H1036" t="s">
        <v>17</v>
      </c>
      <c r="I1036" t="s">
        <v>18</v>
      </c>
      <c r="J1036" t="str">
        <f>"5142982910"</f>
        <v>5142982910</v>
      </c>
      <c r="K1036" t="s">
        <v>4065</v>
      </c>
      <c r="L1036" t="s">
        <v>137</v>
      </c>
      <c r="M1036" t="s">
        <v>21</v>
      </c>
    </row>
    <row r="1037" spans="1:13" x14ac:dyDescent="0.35">
      <c r="A1037" t="str">
        <f>"235-6241"</f>
        <v>235-6241</v>
      </c>
      <c r="B1037" t="s">
        <v>4066</v>
      </c>
      <c r="C1037" t="str">
        <f>"6335"</f>
        <v>6335</v>
      </c>
      <c r="E1037" t="s">
        <v>3493</v>
      </c>
      <c r="F1037" t="s">
        <v>24</v>
      </c>
      <c r="G1037" t="s">
        <v>4067</v>
      </c>
      <c r="H1037" t="s">
        <v>17</v>
      </c>
      <c r="I1037" t="s">
        <v>18</v>
      </c>
      <c r="J1037" t="str">
        <f>"5145039505"</f>
        <v>5145039505</v>
      </c>
      <c r="K1037" t="s">
        <v>4068</v>
      </c>
      <c r="L1037" t="s">
        <v>137</v>
      </c>
      <c r="M1037" t="s">
        <v>21</v>
      </c>
    </row>
    <row r="1038" spans="1:13" x14ac:dyDescent="0.35">
      <c r="A1038" t="str">
        <f>"235-6467"</f>
        <v>235-6467</v>
      </c>
      <c r="B1038" t="s">
        <v>4069</v>
      </c>
      <c r="C1038" t="str">
        <f>"5119"</f>
        <v>5119</v>
      </c>
      <c r="E1038" t="s">
        <v>508</v>
      </c>
      <c r="F1038" t="s">
        <v>24</v>
      </c>
      <c r="G1038" t="s">
        <v>4070</v>
      </c>
      <c r="H1038" t="s">
        <v>17</v>
      </c>
      <c r="I1038" t="s">
        <v>18</v>
      </c>
      <c r="J1038" t="str">
        <f>"5142599605"</f>
        <v>5142599605</v>
      </c>
      <c r="K1038" t="s">
        <v>4071</v>
      </c>
      <c r="L1038" t="s">
        <v>383</v>
      </c>
      <c r="M1038" t="s">
        <v>21</v>
      </c>
    </row>
    <row r="1039" spans="1:13" x14ac:dyDescent="0.35">
      <c r="A1039" t="str">
        <f>"235-6522"</f>
        <v>235-6522</v>
      </c>
      <c r="B1039" t="s">
        <v>4072</v>
      </c>
      <c r="C1039" t="str">
        <f>"2227"</f>
        <v>2227</v>
      </c>
      <c r="E1039" t="s">
        <v>4073</v>
      </c>
      <c r="F1039" t="s">
        <v>2536</v>
      </c>
      <c r="G1039" t="s">
        <v>4074</v>
      </c>
      <c r="H1039" t="s">
        <v>17</v>
      </c>
      <c r="I1039" t="s">
        <v>18</v>
      </c>
      <c r="J1039" t="str">
        <f>"4383420243"</f>
        <v>4383420243</v>
      </c>
      <c r="K1039" t="s">
        <v>4075</v>
      </c>
      <c r="L1039" t="s">
        <v>350</v>
      </c>
      <c r="M1039" t="s">
        <v>21</v>
      </c>
    </row>
    <row r="1040" spans="1:13" x14ac:dyDescent="0.35">
      <c r="A1040" t="str">
        <f>"235-6531"</f>
        <v>235-6531</v>
      </c>
      <c r="B1040" t="s">
        <v>4076</v>
      </c>
      <c r="C1040" t="str">
        <f>"3469"</f>
        <v>3469</v>
      </c>
      <c r="D1040" t="str">
        <f>"318"</f>
        <v>318</v>
      </c>
      <c r="E1040" t="s">
        <v>2245</v>
      </c>
      <c r="F1040" t="s">
        <v>40</v>
      </c>
      <c r="G1040" t="s">
        <v>1097</v>
      </c>
      <c r="H1040" t="s">
        <v>17</v>
      </c>
      <c r="I1040" t="s">
        <v>18</v>
      </c>
      <c r="J1040" t="str">
        <f>"4508397993"</f>
        <v>4508397993</v>
      </c>
      <c r="K1040" t="s">
        <v>4077</v>
      </c>
      <c r="L1040" t="s">
        <v>383</v>
      </c>
      <c r="M1040" t="s">
        <v>21</v>
      </c>
    </row>
    <row r="1041" spans="1:13" x14ac:dyDescent="0.35">
      <c r="A1041" t="str">
        <f>"235-6770"</f>
        <v>235-6770</v>
      </c>
      <c r="B1041" t="s">
        <v>4078</v>
      </c>
      <c r="C1041" t="str">
        <f>"1445"</f>
        <v>1445</v>
      </c>
      <c r="E1041" t="s">
        <v>3998</v>
      </c>
      <c r="F1041" t="s">
        <v>24</v>
      </c>
      <c r="G1041" t="s">
        <v>4079</v>
      </c>
      <c r="H1041" t="s">
        <v>17</v>
      </c>
      <c r="I1041" t="s">
        <v>18</v>
      </c>
      <c r="J1041" t="str">
        <f>"5148839369"</f>
        <v>5148839369</v>
      </c>
      <c r="K1041" t="s">
        <v>4080</v>
      </c>
      <c r="L1041" t="s">
        <v>350</v>
      </c>
      <c r="M1041" t="s">
        <v>21</v>
      </c>
    </row>
    <row r="1042" spans="1:13" x14ac:dyDescent="0.35">
      <c r="A1042" t="str">
        <f>"235-6999"</f>
        <v>235-6999</v>
      </c>
      <c r="B1042" t="s">
        <v>4081</v>
      </c>
      <c r="C1042" t="str">
        <f>"11550"</f>
        <v>11550</v>
      </c>
      <c r="D1042" t="str">
        <f>"7"</f>
        <v>7</v>
      </c>
      <c r="E1042" t="s">
        <v>974</v>
      </c>
      <c r="F1042" t="s">
        <v>3238</v>
      </c>
      <c r="G1042" t="s">
        <v>4082</v>
      </c>
      <c r="H1042" t="s">
        <v>17</v>
      </c>
      <c r="I1042" t="s">
        <v>18</v>
      </c>
      <c r="J1042" t="str">
        <f>"4387874925"</f>
        <v>4387874925</v>
      </c>
      <c r="K1042" t="s">
        <v>4083</v>
      </c>
      <c r="L1042" t="s">
        <v>220</v>
      </c>
      <c r="M1042" t="s">
        <v>21</v>
      </c>
    </row>
    <row r="1043" spans="1:13" x14ac:dyDescent="0.35">
      <c r="A1043" t="str">
        <f>"237-3679"</f>
        <v>237-3679</v>
      </c>
      <c r="B1043" t="s">
        <v>4084</v>
      </c>
      <c r="C1043" t="str">
        <f>"4720"</f>
        <v>4720</v>
      </c>
      <c r="D1043" t="str">
        <f>"610"</f>
        <v>610</v>
      </c>
      <c r="E1043" t="s">
        <v>2419</v>
      </c>
      <c r="F1043" t="s">
        <v>24</v>
      </c>
      <c r="G1043" t="s">
        <v>4085</v>
      </c>
      <c r="H1043" t="s">
        <v>17</v>
      </c>
      <c r="I1043" t="s">
        <v>18</v>
      </c>
      <c r="J1043" t="str">
        <f>"4387659889"</f>
        <v>4387659889</v>
      </c>
      <c r="K1043" t="s">
        <v>4086</v>
      </c>
      <c r="L1043" t="s">
        <v>396</v>
      </c>
      <c r="M1043" t="s">
        <v>21</v>
      </c>
    </row>
    <row r="1044" spans="1:13" x14ac:dyDescent="0.35">
      <c r="A1044" t="str">
        <f>"237-3896"</f>
        <v>237-3896</v>
      </c>
      <c r="B1044" t="s">
        <v>4087</v>
      </c>
      <c r="C1044" t="str">
        <f>"6160"</f>
        <v>6160</v>
      </c>
      <c r="E1044" t="s">
        <v>4088</v>
      </c>
      <c r="F1044" t="s">
        <v>24</v>
      </c>
      <c r="G1044" t="s">
        <v>4089</v>
      </c>
      <c r="H1044" t="s">
        <v>17</v>
      </c>
      <c r="I1044" t="s">
        <v>18</v>
      </c>
      <c r="J1044" t="str">
        <f>"4385405687"</f>
        <v>4385405687</v>
      </c>
      <c r="K1044" t="s">
        <v>4090</v>
      </c>
      <c r="L1044" t="s">
        <v>534</v>
      </c>
      <c r="M1044" t="s">
        <v>21</v>
      </c>
    </row>
    <row r="1045" spans="1:13" x14ac:dyDescent="0.35">
      <c r="A1045" t="str">
        <f>"238-7225"</f>
        <v>238-7225</v>
      </c>
      <c r="B1045" t="s">
        <v>4093</v>
      </c>
      <c r="C1045" t="str">
        <f>"8775"</f>
        <v>8775</v>
      </c>
      <c r="D1045" t="str">
        <f>"106"</f>
        <v>106</v>
      </c>
      <c r="E1045" t="s">
        <v>2129</v>
      </c>
      <c r="F1045" t="s">
        <v>24</v>
      </c>
      <c r="G1045" t="s">
        <v>4094</v>
      </c>
      <c r="H1045" t="s">
        <v>17</v>
      </c>
      <c r="I1045" t="s">
        <v>18</v>
      </c>
      <c r="J1045" t="str">
        <f>"5146546652"</f>
        <v>5146546652</v>
      </c>
      <c r="K1045" t="s">
        <v>4095</v>
      </c>
      <c r="L1045" t="s">
        <v>396</v>
      </c>
      <c r="M1045" t="s">
        <v>21</v>
      </c>
    </row>
    <row r="1046" spans="1:13" x14ac:dyDescent="0.35">
      <c r="A1046" t="str">
        <f>"183-9890"</f>
        <v>183-9890</v>
      </c>
      <c r="B1046" t="s">
        <v>4096</v>
      </c>
      <c r="C1046" t="str">
        <f>"225"</f>
        <v>225</v>
      </c>
      <c r="E1046" t="s">
        <v>169</v>
      </c>
      <c r="F1046" t="s">
        <v>3898</v>
      </c>
      <c r="G1046" t="s">
        <v>3899</v>
      </c>
      <c r="H1046" t="s">
        <v>17</v>
      </c>
      <c r="I1046" t="s">
        <v>18</v>
      </c>
      <c r="J1046" t="str">
        <f>"5149670620"</f>
        <v>5149670620</v>
      </c>
      <c r="K1046" t="s">
        <v>4097</v>
      </c>
      <c r="L1046" t="s">
        <v>350</v>
      </c>
      <c r="M1046" t="s">
        <v>21</v>
      </c>
    </row>
    <row r="1047" spans="1:13" x14ac:dyDescent="0.35">
      <c r="A1047" t="str">
        <f>"193-8988"</f>
        <v>193-8988</v>
      </c>
      <c r="B1047" t="s">
        <v>4098</v>
      </c>
      <c r="C1047" t="str">
        <f>"11300"</f>
        <v>11300</v>
      </c>
      <c r="E1047" t="s">
        <v>600</v>
      </c>
      <c r="F1047" t="s">
        <v>46</v>
      </c>
      <c r="G1047" t="s">
        <v>4099</v>
      </c>
      <c r="H1047" t="s">
        <v>17</v>
      </c>
      <c r="I1047" t="s">
        <v>18</v>
      </c>
      <c r="J1047" t="str">
        <f>"4385089743"</f>
        <v>4385089743</v>
      </c>
      <c r="K1047" t="s">
        <v>4100</v>
      </c>
      <c r="L1047" t="s">
        <v>132</v>
      </c>
      <c r="M1047" t="s">
        <v>21</v>
      </c>
    </row>
    <row r="1048" spans="1:13" x14ac:dyDescent="0.35">
      <c r="A1048" t="str">
        <f>"239-4176"</f>
        <v>239-4176</v>
      </c>
      <c r="B1048" t="s">
        <v>4101</v>
      </c>
      <c r="C1048" t="str">
        <f>"655"</f>
        <v>655</v>
      </c>
      <c r="D1048" t="str">
        <f>"2"</f>
        <v>2</v>
      </c>
      <c r="E1048" t="s">
        <v>253</v>
      </c>
      <c r="F1048" t="s">
        <v>24</v>
      </c>
      <c r="G1048" t="s">
        <v>4102</v>
      </c>
      <c r="H1048" t="s">
        <v>17</v>
      </c>
      <c r="I1048" t="s">
        <v>18</v>
      </c>
      <c r="J1048" t="str">
        <f>"5144529176"</f>
        <v>5144529176</v>
      </c>
      <c r="K1048" t="s">
        <v>4103</v>
      </c>
      <c r="L1048" t="s">
        <v>137</v>
      </c>
      <c r="M1048" t="s">
        <v>21</v>
      </c>
    </row>
    <row r="1049" spans="1:13" x14ac:dyDescent="0.35">
      <c r="A1049" t="str">
        <f>"239-4388"</f>
        <v>239-4388</v>
      </c>
      <c r="B1049" t="s">
        <v>4104</v>
      </c>
      <c r="C1049" t="str">
        <f>"365"</f>
        <v>365</v>
      </c>
      <c r="E1049" t="s">
        <v>2451</v>
      </c>
      <c r="F1049" t="s">
        <v>4105</v>
      </c>
      <c r="G1049" t="s">
        <v>4106</v>
      </c>
      <c r="H1049" t="s">
        <v>17</v>
      </c>
      <c r="I1049" t="s">
        <v>18</v>
      </c>
      <c r="J1049" t="str">
        <f>"4386303820"</f>
        <v>4386303820</v>
      </c>
      <c r="K1049" t="s">
        <v>4107</v>
      </c>
      <c r="L1049" t="s">
        <v>39</v>
      </c>
      <c r="M1049" t="s">
        <v>21</v>
      </c>
    </row>
    <row r="1050" spans="1:13" x14ac:dyDescent="0.35">
      <c r="A1050" t="str">
        <f>"624-3403"</f>
        <v>624-3403</v>
      </c>
      <c r="B1050" t="s">
        <v>4108</v>
      </c>
      <c r="C1050" t="str">
        <f>"8545"</f>
        <v>8545</v>
      </c>
      <c r="E1050" t="s">
        <v>4109</v>
      </c>
      <c r="F1050" t="s">
        <v>24</v>
      </c>
      <c r="G1050" t="s">
        <v>4110</v>
      </c>
      <c r="H1050" t="s">
        <v>17</v>
      </c>
      <c r="I1050" t="s">
        <v>18</v>
      </c>
      <c r="J1050" t="str">
        <f>"5146258377"</f>
        <v>5146258377</v>
      </c>
      <c r="K1050" t="s">
        <v>4111</v>
      </c>
      <c r="L1050" t="s">
        <v>27</v>
      </c>
      <c r="M1050" t="s">
        <v>21</v>
      </c>
    </row>
    <row r="1051" spans="1:13" x14ac:dyDescent="0.35">
      <c r="A1051" t="str">
        <f>"624-3418"</f>
        <v>624-3418</v>
      </c>
      <c r="B1051" t="s">
        <v>4112</v>
      </c>
      <c r="C1051" t="str">
        <f>"9016"</f>
        <v>9016</v>
      </c>
      <c r="D1051" t="str">
        <f>"B"</f>
        <v>B</v>
      </c>
      <c r="E1051" t="s">
        <v>1905</v>
      </c>
      <c r="F1051" t="s">
        <v>24</v>
      </c>
      <c r="G1051" t="s">
        <v>4113</v>
      </c>
      <c r="H1051" t="s">
        <v>17</v>
      </c>
      <c r="I1051" t="s">
        <v>18</v>
      </c>
      <c r="J1051" t="str">
        <f>"5144027487"</f>
        <v>5144027487</v>
      </c>
      <c r="K1051" t="s">
        <v>4114</v>
      </c>
      <c r="L1051" t="s">
        <v>86</v>
      </c>
      <c r="M1051" t="s">
        <v>21</v>
      </c>
    </row>
    <row r="1052" spans="1:13" x14ac:dyDescent="0.35">
      <c r="A1052" t="str">
        <f>"624-3451"</f>
        <v>624-3451</v>
      </c>
      <c r="B1052" t="s">
        <v>4115</v>
      </c>
      <c r="C1052" t="str">
        <f>"4695"</f>
        <v>4695</v>
      </c>
      <c r="D1052" t="str">
        <f>"5"</f>
        <v>5</v>
      </c>
      <c r="E1052" t="s">
        <v>4116</v>
      </c>
      <c r="F1052" t="s">
        <v>40</v>
      </c>
      <c r="G1052" t="s">
        <v>4117</v>
      </c>
      <c r="H1052" t="s">
        <v>17</v>
      </c>
      <c r="I1052" t="s">
        <v>18</v>
      </c>
      <c r="J1052" t="str">
        <f>"8197010451"</f>
        <v>8197010451</v>
      </c>
      <c r="K1052" t="s">
        <v>4118</v>
      </c>
      <c r="L1052" t="s">
        <v>137</v>
      </c>
      <c r="M1052" t="s">
        <v>21</v>
      </c>
    </row>
    <row r="1053" spans="1:13" x14ac:dyDescent="0.35">
      <c r="A1053" t="str">
        <f>"624-3883"</f>
        <v>624-3883</v>
      </c>
      <c r="B1053" t="s">
        <v>4119</v>
      </c>
      <c r="C1053" t="str">
        <f>"8545"</f>
        <v>8545</v>
      </c>
      <c r="D1053" t="str">
        <f>"514"</f>
        <v>514</v>
      </c>
      <c r="E1053" t="s">
        <v>523</v>
      </c>
      <c r="F1053" t="s">
        <v>24</v>
      </c>
      <c r="G1053" t="s">
        <v>524</v>
      </c>
      <c r="H1053" t="s">
        <v>17</v>
      </c>
      <c r="I1053" t="s">
        <v>18</v>
      </c>
      <c r="J1053" t="str">
        <f>"4389267262"</f>
        <v>4389267262</v>
      </c>
      <c r="K1053" t="s">
        <v>4120</v>
      </c>
      <c r="L1053" t="s">
        <v>220</v>
      </c>
      <c r="M1053" t="s">
        <v>21</v>
      </c>
    </row>
    <row r="1054" spans="1:13" x14ac:dyDescent="0.35">
      <c r="A1054" t="str">
        <f>"624-8040"</f>
        <v>624-8040</v>
      </c>
      <c r="B1054" t="s">
        <v>4121</v>
      </c>
      <c r="C1054" t="str">
        <f>"5750"</f>
        <v>5750</v>
      </c>
      <c r="D1054" t="str">
        <f>"6"</f>
        <v>6</v>
      </c>
      <c r="E1054" t="s">
        <v>802</v>
      </c>
      <c r="F1054" t="s">
        <v>24</v>
      </c>
      <c r="G1054" t="s">
        <v>4122</v>
      </c>
      <c r="H1054" t="s">
        <v>17</v>
      </c>
      <c r="I1054" t="s">
        <v>18</v>
      </c>
      <c r="J1054" t="str">
        <f>"5146251858"</f>
        <v>5146251858</v>
      </c>
      <c r="K1054" t="s">
        <v>4123</v>
      </c>
      <c r="L1054" t="s">
        <v>198</v>
      </c>
      <c r="M1054" t="s">
        <v>21</v>
      </c>
    </row>
    <row r="1055" spans="1:13" x14ac:dyDescent="0.35">
      <c r="A1055" t="str">
        <f>"624-8068"</f>
        <v>624-8068</v>
      </c>
      <c r="B1055" t="s">
        <v>4124</v>
      </c>
      <c r="C1055" t="str">
        <f>"4960"</f>
        <v>4960</v>
      </c>
      <c r="E1055" t="s">
        <v>4125</v>
      </c>
      <c r="F1055" t="s">
        <v>24</v>
      </c>
      <c r="G1055" t="s">
        <v>4126</v>
      </c>
      <c r="H1055" t="s">
        <v>17</v>
      </c>
      <c r="I1055" t="s">
        <v>18</v>
      </c>
      <c r="J1055" t="str">
        <f>"4383657917"</f>
        <v>4383657917</v>
      </c>
      <c r="K1055" t="s">
        <v>4127</v>
      </c>
      <c r="L1055" t="s">
        <v>220</v>
      </c>
      <c r="M1055" t="s">
        <v>21</v>
      </c>
    </row>
    <row r="1056" spans="1:13" x14ac:dyDescent="0.35">
      <c r="A1056" t="str">
        <f>"077-3205"</f>
        <v>077-3205</v>
      </c>
      <c r="B1056" t="s">
        <v>4128</v>
      </c>
      <c r="C1056" t="str">
        <f>"6941"</f>
        <v>6941</v>
      </c>
      <c r="E1056" t="s">
        <v>4129</v>
      </c>
      <c r="F1056" t="s">
        <v>24</v>
      </c>
      <c r="G1056" t="s">
        <v>4130</v>
      </c>
      <c r="H1056" t="s">
        <v>17</v>
      </c>
      <c r="I1056" t="s">
        <v>18</v>
      </c>
      <c r="J1056" t="str">
        <f>"5149677455"</f>
        <v>5149677455</v>
      </c>
      <c r="K1056" t="s">
        <v>4131</v>
      </c>
      <c r="L1056" t="s">
        <v>20</v>
      </c>
      <c r="M1056" t="s">
        <v>21</v>
      </c>
    </row>
    <row r="1057" spans="1:13" x14ac:dyDescent="0.35">
      <c r="A1057" t="str">
        <f>"625-9433"</f>
        <v>625-9433</v>
      </c>
      <c r="B1057" t="s">
        <v>4132</v>
      </c>
      <c r="C1057" t="str">
        <f>"8193"</f>
        <v>8193</v>
      </c>
      <c r="E1057" t="s">
        <v>1300</v>
      </c>
      <c r="F1057" t="s">
        <v>40</v>
      </c>
      <c r="G1057" t="s">
        <v>4133</v>
      </c>
      <c r="H1057" t="s">
        <v>17</v>
      </c>
      <c r="I1057" t="s">
        <v>18</v>
      </c>
      <c r="J1057" t="str">
        <f>"5144314897"</f>
        <v>5144314897</v>
      </c>
      <c r="K1057" t="s">
        <v>4134</v>
      </c>
      <c r="L1057" t="s">
        <v>86</v>
      </c>
      <c r="M1057" t="s">
        <v>21</v>
      </c>
    </row>
    <row r="1058" spans="1:13" x14ac:dyDescent="0.35">
      <c r="A1058" t="str">
        <f>"625-9725"</f>
        <v>625-9725</v>
      </c>
      <c r="B1058" t="s">
        <v>4135</v>
      </c>
      <c r="C1058" t="str">
        <f>"9052"</f>
        <v>9052</v>
      </c>
      <c r="E1058" t="s">
        <v>4136</v>
      </c>
      <c r="F1058" t="s">
        <v>24</v>
      </c>
      <c r="G1058" t="s">
        <v>4137</v>
      </c>
      <c r="H1058" t="s">
        <v>17</v>
      </c>
      <c r="I1058" t="s">
        <v>18</v>
      </c>
      <c r="J1058" t="str">
        <f>"5143785661"</f>
        <v>5143785661</v>
      </c>
      <c r="K1058" t="s">
        <v>4138</v>
      </c>
      <c r="L1058" t="s">
        <v>137</v>
      </c>
      <c r="M1058" t="s">
        <v>21</v>
      </c>
    </row>
    <row r="1059" spans="1:13" x14ac:dyDescent="0.35">
      <c r="A1059" t="str">
        <f>"148-6308"</f>
        <v>148-6308</v>
      </c>
      <c r="B1059" t="s">
        <v>4139</v>
      </c>
      <c r="C1059" t="str">
        <f>"4482"</f>
        <v>4482</v>
      </c>
      <c r="E1059" t="s">
        <v>4140</v>
      </c>
      <c r="F1059" t="s">
        <v>54</v>
      </c>
      <c r="G1059" t="s">
        <v>4141</v>
      </c>
      <c r="H1059" t="s">
        <v>17</v>
      </c>
      <c r="I1059" t="s">
        <v>18</v>
      </c>
      <c r="J1059" t="str">
        <f>"4384045676"</f>
        <v>4384045676</v>
      </c>
      <c r="K1059" t="s">
        <v>4142</v>
      </c>
      <c r="L1059" t="s">
        <v>319</v>
      </c>
      <c r="M1059" t="s">
        <v>21</v>
      </c>
    </row>
    <row r="1060" spans="1:13" x14ac:dyDescent="0.35">
      <c r="A1060" t="str">
        <f>"973-6574"</f>
        <v>973-6574</v>
      </c>
      <c r="B1060" t="s">
        <v>4143</v>
      </c>
      <c r="C1060" t="str">
        <f>"3013"</f>
        <v>3013</v>
      </c>
      <c r="E1060" t="s">
        <v>4144</v>
      </c>
      <c r="F1060" t="s">
        <v>143</v>
      </c>
      <c r="G1060" t="s">
        <v>3168</v>
      </c>
      <c r="H1060" t="s">
        <v>17</v>
      </c>
      <c r="I1060" t="s">
        <v>18</v>
      </c>
      <c r="J1060" t="str">
        <f>"4388628110"</f>
        <v>4388628110</v>
      </c>
      <c r="K1060" t="s">
        <v>4145</v>
      </c>
      <c r="L1060" t="s">
        <v>20</v>
      </c>
      <c r="M1060" t="s">
        <v>21</v>
      </c>
    </row>
    <row r="1061" spans="1:13" x14ac:dyDescent="0.35">
      <c r="A1061" t="str">
        <f>"173-7614"</f>
        <v>173-7614</v>
      </c>
      <c r="B1061" t="s">
        <v>4146</v>
      </c>
      <c r="C1061" t="str">
        <f>"1941"</f>
        <v>1941</v>
      </c>
      <c r="E1061" t="s">
        <v>4147</v>
      </c>
      <c r="F1061" t="s">
        <v>1803</v>
      </c>
      <c r="G1061" t="s">
        <v>4148</v>
      </c>
      <c r="H1061" t="s">
        <v>17</v>
      </c>
      <c r="I1061" t="s">
        <v>18</v>
      </c>
      <c r="J1061" t="str">
        <f>"4508484237"</f>
        <v>4508484237</v>
      </c>
      <c r="K1061" t="s">
        <v>4149</v>
      </c>
      <c r="L1061" t="s">
        <v>313</v>
      </c>
      <c r="M1061" t="s">
        <v>21</v>
      </c>
    </row>
    <row r="1062" spans="1:13" x14ac:dyDescent="0.35">
      <c r="A1062" t="str">
        <f>"192-3745"</f>
        <v>192-3745</v>
      </c>
      <c r="B1062" t="s">
        <v>4150</v>
      </c>
      <c r="C1062" t="str">
        <f>"350"</f>
        <v>350</v>
      </c>
      <c r="D1062" t="str">
        <f>"3"</f>
        <v>3</v>
      </c>
      <c r="E1062" t="s">
        <v>4151</v>
      </c>
      <c r="F1062" t="s">
        <v>157</v>
      </c>
      <c r="G1062" t="s">
        <v>4152</v>
      </c>
      <c r="H1062" t="s">
        <v>17</v>
      </c>
      <c r="I1062" t="s">
        <v>18</v>
      </c>
      <c r="J1062" t="str">
        <f>"4502302893"</f>
        <v>4502302893</v>
      </c>
      <c r="K1062" t="s">
        <v>4153</v>
      </c>
      <c r="L1062" t="s">
        <v>313</v>
      </c>
      <c r="M1062" t="s">
        <v>21</v>
      </c>
    </row>
    <row r="1063" spans="1:13" x14ac:dyDescent="0.35">
      <c r="A1063" t="str">
        <f>"212-8922"</f>
        <v>212-8922</v>
      </c>
      <c r="B1063" t="s">
        <v>4154</v>
      </c>
      <c r="C1063" t="str">
        <f>"2383"</f>
        <v>2383</v>
      </c>
      <c r="E1063" t="s">
        <v>4155</v>
      </c>
      <c r="F1063" t="s">
        <v>24</v>
      </c>
      <c r="G1063" t="s">
        <v>4156</v>
      </c>
      <c r="H1063" t="s">
        <v>17</v>
      </c>
      <c r="I1063" t="s">
        <v>18</v>
      </c>
      <c r="J1063" t="str">
        <f>"4389897569"</f>
        <v>4389897569</v>
      </c>
      <c r="K1063" t="s">
        <v>4157</v>
      </c>
      <c r="L1063" t="s">
        <v>383</v>
      </c>
      <c r="M1063" t="s">
        <v>21</v>
      </c>
    </row>
    <row r="1064" spans="1:13" x14ac:dyDescent="0.35">
      <c r="A1064" t="str">
        <f>"218-7791"</f>
        <v>218-7791</v>
      </c>
      <c r="B1064" t="s">
        <v>4158</v>
      </c>
      <c r="C1064" t="str">
        <f>"2382"</f>
        <v>2382</v>
      </c>
      <c r="E1064" t="s">
        <v>4159</v>
      </c>
      <c r="F1064" t="s">
        <v>24</v>
      </c>
      <c r="G1064" t="s">
        <v>4160</v>
      </c>
      <c r="H1064" t="s">
        <v>17</v>
      </c>
      <c r="I1064" t="s">
        <v>18</v>
      </c>
      <c r="J1064" t="str">
        <f>"4388767575"</f>
        <v>4388767575</v>
      </c>
      <c r="K1064" t="s">
        <v>4161</v>
      </c>
      <c r="L1064" t="s">
        <v>20</v>
      </c>
      <c r="M1064" t="s">
        <v>21</v>
      </c>
    </row>
    <row r="1065" spans="1:13" x14ac:dyDescent="0.35">
      <c r="A1065" t="str">
        <f>"224-0170"</f>
        <v>224-0170</v>
      </c>
      <c r="B1065" t="s">
        <v>4162</v>
      </c>
      <c r="C1065" t="str">
        <f>"1136"</f>
        <v>1136</v>
      </c>
      <c r="E1065" t="s">
        <v>4163</v>
      </c>
      <c r="F1065" t="s">
        <v>143</v>
      </c>
      <c r="G1065" t="s">
        <v>4164</v>
      </c>
      <c r="H1065" t="s">
        <v>17</v>
      </c>
      <c r="I1065" t="s">
        <v>18</v>
      </c>
      <c r="J1065" t="str">
        <f>"4388715569"</f>
        <v>4388715569</v>
      </c>
      <c r="K1065" t="s">
        <v>4165</v>
      </c>
      <c r="L1065" t="s">
        <v>39</v>
      </c>
      <c r="M1065" t="s">
        <v>21</v>
      </c>
    </row>
    <row r="1066" spans="1:13" x14ac:dyDescent="0.35">
      <c r="A1066" t="str">
        <f>"224-3367"</f>
        <v>224-3367</v>
      </c>
      <c r="B1066" t="s">
        <v>4166</v>
      </c>
      <c r="C1066" t="str">
        <f>"110"</f>
        <v>110</v>
      </c>
      <c r="D1066" t="str">
        <f>"5"</f>
        <v>5</v>
      </c>
      <c r="E1066" t="s">
        <v>4167</v>
      </c>
      <c r="F1066" t="s">
        <v>54</v>
      </c>
      <c r="G1066" t="s">
        <v>4168</v>
      </c>
      <c r="H1066" t="s">
        <v>17</v>
      </c>
      <c r="I1066" t="s">
        <v>18</v>
      </c>
      <c r="J1066" t="str">
        <f>"5146642800"</f>
        <v>5146642800</v>
      </c>
      <c r="K1066" t="s">
        <v>4169</v>
      </c>
      <c r="L1066" t="s">
        <v>27</v>
      </c>
      <c r="M1066" t="s">
        <v>21</v>
      </c>
    </row>
    <row r="1067" spans="1:13" x14ac:dyDescent="0.35">
      <c r="A1067" t="str">
        <f>"224-7646"</f>
        <v>224-7646</v>
      </c>
      <c r="B1067" t="s">
        <v>4170</v>
      </c>
      <c r="C1067" t="str">
        <f>"40"</f>
        <v>40</v>
      </c>
      <c r="E1067" t="s">
        <v>4171</v>
      </c>
      <c r="F1067" t="s">
        <v>1022</v>
      </c>
      <c r="G1067" t="s">
        <v>4172</v>
      </c>
      <c r="H1067" t="s">
        <v>17</v>
      </c>
      <c r="I1067" t="s">
        <v>18</v>
      </c>
      <c r="J1067" t="str">
        <f>"4383734990"</f>
        <v>4383734990</v>
      </c>
      <c r="K1067" t="s">
        <v>4173</v>
      </c>
      <c r="L1067" t="s">
        <v>39</v>
      </c>
      <c r="M1067" t="s">
        <v>21</v>
      </c>
    </row>
    <row r="1068" spans="1:13" x14ac:dyDescent="0.35">
      <c r="A1068" t="str">
        <f>"228-3754"</f>
        <v>228-3754</v>
      </c>
      <c r="B1068" t="s">
        <v>4174</v>
      </c>
      <c r="C1068" t="str">
        <f>"5060"</f>
        <v>5060</v>
      </c>
      <c r="E1068" t="s">
        <v>1283</v>
      </c>
      <c r="F1068" t="s">
        <v>24</v>
      </c>
      <c r="G1068" t="s">
        <v>1284</v>
      </c>
      <c r="H1068" t="s">
        <v>17</v>
      </c>
      <c r="I1068" t="s">
        <v>18</v>
      </c>
      <c r="J1068" t="str">
        <f>"5147127318"</f>
        <v>5147127318</v>
      </c>
      <c r="K1068" t="s">
        <v>4175</v>
      </c>
      <c r="L1068" t="s">
        <v>383</v>
      </c>
      <c r="M1068" t="s">
        <v>21</v>
      </c>
    </row>
    <row r="1069" spans="1:13" x14ac:dyDescent="0.35">
      <c r="A1069" t="str">
        <f>"228-4665"</f>
        <v>228-4665</v>
      </c>
      <c r="B1069" t="s">
        <v>4176</v>
      </c>
      <c r="C1069" t="str">
        <f>"9"</f>
        <v>9</v>
      </c>
      <c r="E1069" t="s">
        <v>4177</v>
      </c>
      <c r="F1069" t="s">
        <v>4178</v>
      </c>
      <c r="G1069" t="s">
        <v>4179</v>
      </c>
      <c r="H1069" t="s">
        <v>17</v>
      </c>
      <c r="I1069" t="s">
        <v>18</v>
      </c>
      <c r="J1069" t="str">
        <f>"4183180510"</f>
        <v>4183180510</v>
      </c>
      <c r="K1069" t="s">
        <v>4180</v>
      </c>
      <c r="L1069" t="s">
        <v>20</v>
      </c>
      <c r="M1069" t="s">
        <v>21</v>
      </c>
    </row>
    <row r="1070" spans="1:13" x14ac:dyDescent="0.35">
      <c r="A1070" t="str">
        <f>"235-5276"</f>
        <v>235-5276</v>
      </c>
      <c r="B1070" t="s">
        <v>4181</v>
      </c>
      <c r="C1070" t="str">
        <f>"7741"</f>
        <v>7741</v>
      </c>
      <c r="E1070" t="s">
        <v>4182</v>
      </c>
      <c r="F1070" t="s">
        <v>24</v>
      </c>
      <c r="G1070" t="s">
        <v>4183</v>
      </c>
      <c r="H1070" t="s">
        <v>17</v>
      </c>
      <c r="I1070" t="s">
        <v>18</v>
      </c>
      <c r="J1070" t="str">
        <f>"4385018195"</f>
        <v>4385018195</v>
      </c>
      <c r="K1070" t="s">
        <v>4184</v>
      </c>
      <c r="L1070" t="s">
        <v>466</v>
      </c>
      <c r="M1070" t="s">
        <v>21</v>
      </c>
    </row>
    <row r="1071" spans="1:13" x14ac:dyDescent="0.35">
      <c r="A1071" t="str">
        <f>"235-5552"</f>
        <v>235-5552</v>
      </c>
      <c r="B1071" t="s">
        <v>4185</v>
      </c>
      <c r="C1071" t="str">
        <f>"532"</f>
        <v>532</v>
      </c>
      <c r="E1071" t="s">
        <v>4186</v>
      </c>
      <c r="F1071" t="s">
        <v>4187</v>
      </c>
      <c r="G1071" t="s">
        <v>4188</v>
      </c>
      <c r="H1071" t="s">
        <v>17</v>
      </c>
      <c r="I1071" t="s">
        <v>18</v>
      </c>
      <c r="J1071" t="str">
        <f>"5147975533"</f>
        <v>5147975533</v>
      </c>
      <c r="K1071" t="s">
        <v>4189</v>
      </c>
      <c r="L1071" t="s">
        <v>869</v>
      </c>
      <c r="M1071" t="s">
        <v>21</v>
      </c>
    </row>
    <row r="1072" spans="1:13" x14ac:dyDescent="0.35">
      <c r="A1072" t="str">
        <f>"235-5695"</f>
        <v>235-5695</v>
      </c>
      <c r="B1072" t="s">
        <v>4190</v>
      </c>
      <c r="C1072" t="str">
        <f>"137"</f>
        <v>137</v>
      </c>
      <c r="E1072" t="s">
        <v>4191</v>
      </c>
      <c r="F1072" t="s">
        <v>4192</v>
      </c>
      <c r="G1072" t="s">
        <v>4193</v>
      </c>
      <c r="H1072" t="s">
        <v>17</v>
      </c>
      <c r="I1072" t="s">
        <v>18</v>
      </c>
      <c r="J1072" t="str">
        <f>"5819809113"</f>
        <v>5819809113</v>
      </c>
      <c r="K1072" t="s">
        <v>4194</v>
      </c>
      <c r="L1072" t="s">
        <v>319</v>
      </c>
      <c r="M1072" t="s">
        <v>21</v>
      </c>
    </row>
    <row r="1073" spans="1:13" x14ac:dyDescent="0.35">
      <c r="A1073" t="str">
        <f>"235-6421"</f>
        <v>235-6421</v>
      </c>
      <c r="B1073" t="s">
        <v>4195</v>
      </c>
      <c r="C1073" t="str">
        <f>"11264"</f>
        <v>11264</v>
      </c>
      <c r="D1073" t="str">
        <f>"0"</f>
        <v>0</v>
      </c>
      <c r="E1073" t="s">
        <v>4196</v>
      </c>
      <c r="F1073" t="s">
        <v>4197</v>
      </c>
      <c r="G1073" t="s">
        <v>4198</v>
      </c>
      <c r="H1073" t="s">
        <v>17</v>
      </c>
      <c r="I1073" t="s">
        <v>18</v>
      </c>
      <c r="J1073" t="str">
        <f>"4382272811"</f>
        <v>4382272811</v>
      </c>
      <c r="K1073" t="s">
        <v>4199</v>
      </c>
      <c r="L1073" t="s">
        <v>27</v>
      </c>
      <c r="M1073" t="s">
        <v>21</v>
      </c>
    </row>
    <row r="1074" spans="1:13" x14ac:dyDescent="0.35">
      <c r="A1074" t="str">
        <f>"236-6155"</f>
        <v>236-6155</v>
      </c>
      <c r="B1074" t="s">
        <v>4200</v>
      </c>
      <c r="C1074" t="str">
        <f>"3469"</f>
        <v>3469</v>
      </c>
      <c r="D1074" t="str">
        <f>"340"</f>
        <v>340</v>
      </c>
      <c r="E1074" t="s">
        <v>455</v>
      </c>
      <c r="F1074" t="s">
        <v>24</v>
      </c>
      <c r="G1074" t="s">
        <v>1097</v>
      </c>
      <c r="H1074" t="s">
        <v>17</v>
      </c>
      <c r="I1074" t="s">
        <v>18</v>
      </c>
      <c r="J1074" t="str">
        <f>"4388899248"</f>
        <v>4388899248</v>
      </c>
      <c r="K1074" t="s">
        <v>4201</v>
      </c>
      <c r="L1074" t="s">
        <v>39</v>
      </c>
      <c r="M1074" t="s">
        <v>21</v>
      </c>
    </row>
    <row r="1075" spans="1:13" x14ac:dyDescent="0.35">
      <c r="A1075" t="str">
        <f>"236-7002"</f>
        <v>236-7002</v>
      </c>
      <c r="B1075" t="s">
        <v>4202</v>
      </c>
      <c r="C1075" t="str">
        <f>"3083"</f>
        <v>3083</v>
      </c>
      <c r="E1075" t="s">
        <v>4203</v>
      </c>
      <c r="F1075" t="s">
        <v>54</v>
      </c>
      <c r="G1075" t="s">
        <v>4204</v>
      </c>
      <c r="H1075" t="s">
        <v>17</v>
      </c>
      <c r="I1075" t="s">
        <v>18</v>
      </c>
      <c r="J1075" t="str">
        <f>"4385275050"</f>
        <v>4385275050</v>
      </c>
      <c r="K1075" t="s">
        <v>4205</v>
      </c>
      <c r="L1075" t="s">
        <v>86</v>
      </c>
      <c r="M1075" t="s">
        <v>21</v>
      </c>
    </row>
    <row r="1076" spans="1:13" x14ac:dyDescent="0.35">
      <c r="A1076" t="str">
        <f>"236-7056"</f>
        <v>236-7056</v>
      </c>
      <c r="B1076" t="s">
        <v>4206</v>
      </c>
      <c r="C1076" t="str">
        <f>"9103"</f>
        <v>9103</v>
      </c>
      <c r="E1076" t="s">
        <v>3902</v>
      </c>
      <c r="F1076" t="s">
        <v>40</v>
      </c>
      <c r="G1076" t="s">
        <v>4207</v>
      </c>
      <c r="H1076" t="s">
        <v>17</v>
      </c>
      <c r="I1076" t="s">
        <v>18</v>
      </c>
      <c r="J1076" t="str">
        <f>"5142692861"</f>
        <v>5142692861</v>
      </c>
      <c r="K1076" t="s">
        <v>4208</v>
      </c>
      <c r="L1076" t="s">
        <v>76</v>
      </c>
      <c r="M1076" t="s">
        <v>21</v>
      </c>
    </row>
    <row r="1077" spans="1:13" x14ac:dyDescent="0.35">
      <c r="A1077" t="str">
        <f>"237-2551"</f>
        <v>237-2551</v>
      </c>
      <c r="B1077" t="s">
        <v>4209</v>
      </c>
      <c r="C1077" t="str">
        <f>"941"</f>
        <v>941</v>
      </c>
      <c r="E1077" t="s">
        <v>4210</v>
      </c>
      <c r="F1077" t="s">
        <v>54</v>
      </c>
      <c r="G1077" t="s">
        <v>4211</v>
      </c>
      <c r="H1077" t="s">
        <v>17</v>
      </c>
      <c r="I1077" t="s">
        <v>18</v>
      </c>
      <c r="J1077" t="str">
        <f>"4388720742"</f>
        <v>4388720742</v>
      </c>
      <c r="K1077" t="s">
        <v>4212</v>
      </c>
      <c r="L1077" t="s">
        <v>466</v>
      </c>
      <c r="M1077" t="s">
        <v>21</v>
      </c>
    </row>
    <row r="1078" spans="1:13" x14ac:dyDescent="0.35">
      <c r="A1078" t="str">
        <f>"237-2679"</f>
        <v>237-2679</v>
      </c>
      <c r="B1078" t="s">
        <v>4213</v>
      </c>
      <c r="C1078" t="str">
        <f>"6854"</f>
        <v>6854</v>
      </c>
      <c r="E1078" t="s">
        <v>1278</v>
      </c>
      <c r="F1078" t="s">
        <v>24</v>
      </c>
      <c r="G1078" t="s">
        <v>4214</v>
      </c>
      <c r="H1078" t="s">
        <v>17</v>
      </c>
      <c r="I1078" t="s">
        <v>18</v>
      </c>
      <c r="J1078" t="str">
        <f>"4384934076"</f>
        <v>4384934076</v>
      </c>
      <c r="K1078" t="s">
        <v>4215</v>
      </c>
      <c r="L1078" t="s">
        <v>86</v>
      </c>
      <c r="M1078" t="s">
        <v>21</v>
      </c>
    </row>
    <row r="1079" spans="1:13" x14ac:dyDescent="0.35">
      <c r="A1079" t="str">
        <f>"237-2907"</f>
        <v>237-2907</v>
      </c>
      <c r="B1079" t="s">
        <v>4216</v>
      </c>
      <c r="C1079" t="str">
        <f>"2762"</f>
        <v>2762</v>
      </c>
      <c r="E1079" t="s">
        <v>200</v>
      </c>
      <c r="F1079" t="s">
        <v>24</v>
      </c>
      <c r="G1079" t="s">
        <v>4217</v>
      </c>
      <c r="H1079" t="s">
        <v>17</v>
      </c>
      <c r="I1079" t="s">
        <v>18</v>
      </c>
      <c r="J1079" t="str">
        <f>"4388870786"</f>
        <v>4388870786</v>
      </c>
      <c r="K1079" t="s">
        <v>4218</v>
      </c>
      <c r="L1079" t="s">
        <v>86</v>
      </c>
      <c r="M1079" t="s">
        <v>21</v>
      </c>
    </row>
    <row r="1080" spans="1:13" x14ac:dyDescent="0.35">
      <c r="A1080" t="str">
        <f>"237-2932"</f>
        <v>237-2932</v>
      </c>
      <c r="B1080" t="s">
        <v>4219</v>
      </c>
      <c r="C1080" t="str">
        <f>"2163"</f>
        <v>2163</v>
      </c>
      <c r="E1080" t="s">
        <v>4220</v>
      </c>
      <c r="F1080" t="s">
        <v>24</v>
      </c>
      <c r="G1080" t="s">
        <v>4221</v>
      </c>
      <c r="H1080" t="s">
        <v>17</v>
      </c>
      <c r="I1080" t="s">
        <v>18</v>
      </c>
      <c r="J1080" t="str">
        <f>"4388718084"</f>
        <v>4388718084</v>
      </c>
      <c r="K1080" t="s">
        <v>4222</v>
      </c>
      <c r="L1080" t="s">
        <v>874</v>
      </c>
      <c r="M1080" t="s">
        <v>21</v>
      </c>
    </row>
    <row r="1081" spans="1:13" x14ac:dyDescent="0.35">
      <c r="A1081" t="str">
        <f>"237-3168"</f>
        <v>237-3168</v>
      </c>
      <c r="B1081" t="s">
        <v>4223</v>
      </c>
      <c r="C1081" t="str">
        <f>"5462"</f>
        <v>5462</v>
      </c>
      <c r="E1081" t="s">
        <v>694</v>
      </c>
      <c r="F1081" t="s">
        <v>24</v>
      </c>
      <c r="G1081" t="s">
        <v>4224</v>
      </c>
      <c r="H1081" t="s">
        <v>17</v>
      </c>
      <c r="I1081" t="s">
        <v>18</v>
      </c>
      <c r="J1081" t="str">
        <f>"4388783466"</f>
        <v>4388783466</v>
      </c>
      <c r="K1081" t="s">
        <v>4225</v>
      </c>
      <c r="L1081" t="s">
        <v>874</v>
      </c>
      <c r="M1081" t="s">
        <v>21</v>
      </c>
    </row>
    <row r="1082" spans="1:13" x14ac:dyDescent="0.35">
      <c r="A1082" t="str">
        <f>"237-8551"</f>
        <v>237-8551</v>
      </c>
      <c r="B1082" t="s">
        <v>4226</v>
      </c>
      <c r="C1082" t="str">
        <f>"8743"</f>
        <v>8743</v>
      </c>
      <c r="E1082" t="s">
        <v>4227</v>
      </c>
      <c r="F1082" t="s">
        <v>24</v>
      </c>
      <c r="G1082" t="s">
        <v>4228</v>
      </c>
      <c r="H1082" t="s">
        <v>17</v>
      </c>
      <c r="I1082" t="s">
        <v>18</v>
      </c>
      <c r="J1082" t="str">
        <f>"5147144190"</f>
        <v>5147144190</v>
      </c>
      <c r="K1082" t="s">
        <v>4229</v>
      </c>
      <c r="L1082" t="s">
        <v>869</v>
      </c>
      <c r="M1082" t="s">
        <v>21</v>
      </c>
    </row>
    <row r="1083" spans="1:13" x14ac:dyDescent="0.35">
      <c r="A1083" t="str">
        <f>"237-9730"</f>
        <v>237-9730</v>
      </c>
      <c r="B1083" t="s">
        <v>4230</v>
      </c>
      <c r="C1083" t="str">
        <f>"6891"</f>
        <v>6891</v>
      </c>
      <c r="D1083" t="str">
        <f>"410"</f>
        <v>410</v>
      </c>
      <c r="E1083" t="s">
        <v>4231</v>
      </c>
      <c r="F1083" t="s">
        <v>24</v>
      </c>
      <c r="G1083" t="s">
        <v>4232</v>
      </c>
      <c r="H1083" t="s">
        <v>17</v>
      </c>
      <c r="I1083" t="s">
        <v>18</v>
      </c>
      <c r="J1083" t="str">
        <f>"4505316828"</f>
        <v>4505316828</v>
      </c>
      <c r="K1083" t="s">
        <v>4233</v>
      </c>
      <c r="L1083" t="s">
        <v>383</v>
      </c>
      <c r="M1083" t="s">
        <v>21</v>
      </c>
    </row>
    <row r="1084" spans="1:13" x14ac:dyDescent="0.35">
      <c r="A1084" t="str">
        <f>"238-0042"</f>
        <v>238-0042</v>
      </c>
      <c r="B1084" t="s">
        <v>4234</v>
      </c>
      <c r="C1084" t="str">
        <f>"5728"</f>
        <v>5728</v>
      </c>
      <c r="E1084" t="s">
        <v>931</v>
      </c>
      <c r="F1084" t="s">
        <v>24</v>
      </c>
      <c r="G1084" t="s">
        <v>4235</v>
      </c>
      <c r="H1084" t="s">
        <v>17</v>
      </c>
      <c r="I1084" t="s">
        <v>18</v>
      </c>
      <c r="J1084" t="str">
        <f>"5142955341"</f>
        <v>5142955341</v>
      </c>
      <c r="K1084" t="s">
        <v>4236</v>
      </c>
      <c r="L1084" t="s">
        <v>39</v>
      </c>
      <c r="M1084" t="s">
        <v>21</v>
      </c>
    </row>
    <row r="1085" spans="1:13" x14ac:dyDescent="0.35">
      <c r="A1085" t="str">
        <f>"238-0146"</f>
        <v>238-0146</v>
      </c>
      <c r="B1085" t="s">
        <v>4237</v>
      </c>
      <c r="C1085" t="str">
        <f>"1798"</f>
        <v>1798</v>
      </c>
      <c r="E1085" t="s">
        <v>4238</v>
      </c>
      <c r="F1085" t="s">
        <v>4239</v>
      </c>
      <c r="G1085" t="s">
        <v>4240</v>
      </c>
      <c r="H1085" t="s">
        <v>17</v>
      </c>
      <c r="I1085" t="s">
        <v>18</v>
      </c>
      <c r="J1085" t="str">
        <f>"4384090454"</f>
        <v>4384090454</v>
      </c>
      <c r="K1085" t="s">
        <v>4241</v>
      </c>
      <c r="L1085" t="s">
        <v>39</v>
      </c>
      <c r="M1085" t="s">
        <v>21</v>
      </c>
    </row>
    <row r="1086" spans="1:13" x14ac:dyDescent="0.35">
      <c r="A1086" t="str">
        <f>"238-0362"</f>
        <v>238-0362</v>
      </c>
      <c r="B1086" t="s">
        <v>4242</v>
      </c>
      <c r="C1086" t="str">
        <f>"8800"</f>
        <v>8800</v>
      </c>
      <c r="D1086" t="str">
        <f>"1"</f>
        <v>1</v>
      </c>
      <c r="E1086" t="s">
        <v>4243</v>
      </c>
      <c r="F1086" t="s">
        <v>24</v>
      </c>
      <c r="G1086" t="s">
        <v>4244</v>
      </c>
      <c r="H1086" t="s">
        <v>17</v>
      </c>
      <c r="I1086" t="s">
        <v>18</v>
      </c>
      <c r="J1086" t="str">
        <f>"4382397785"</f>
        <v>4382397785</v>
      </c>
      <c r="K1086" t="s">
        <v>4245</v>
      </c>
      <c r="L1086" t="s">
        <v>396</v>
      </c>
      <c r="M1086" t="s">
        <v>21</v>
      </c>
    </row>
    <row r="1087" spans="1:13" x14ac:dyDescent="0.35">
      <c r="A1087" t="str">
        <f>"058-3138"</f>
        <v>058-3138</v>
      </c>
      <c r="B1087" t="s">
        <v>4246</v>
      </c>
      <c r="C1087" t="str">
        <f>"1655"</f>
        <v>1655</v>
      </c>
      <c r="D1087" t="str">
        <f>"1"</f>
        <v>1</v>
      </c>
      <c r="E1087" t="s">
        <v>4247</v>
      </c>
      <c r="F1087" t="s">
        <v>24</v>
      </c>
      <c r="G1087" t="s">
        <v>4248</v>
      </c>
      <c r="H1087" t="s">
        <v>17</v>
      </c>
      <c r="I1087" t="s">
        <v>18</v>
      </c>
      <c r="J1087" t="str">
        <f>"5146549277"</f>
        <v>5146549277</v>
      </c>
      <c r="K1087" t="s">
        <v>4249</v>
      </c>
      <c r="L1087" t="s">
        <v>350</v>
      </c>
      <c r="M1087" t="s">
        <v>21</v>
      </c>
    </row>
    <row r="1088" spans="1:13" x14ac:dyDescent="0.35">
      <c r="A1088" t="str">
        <f>"625-8036"</f>
        <v>625-8036</v>
      </c>
      <c r="B1088" t="s">
        <v>4250</v>
      </c>
      <c r="C1088" t="str">
        <f>"12637"</f>
        <v>12637</v>
      </c>
      <c r="E1088" t="s">
        <v>4251</v>
      </c>
      <c r="F1088" t="s">
        <v>24</v>
      </c>
      <c r="G1088" t="s">
        <v>4252</v>
      </c>
      <c r="H1088" t="s">
        <v>17</v>
      </c>
      <c r="I1088" t="s">
        <v>18</v>
      </c>
      <c r="J1088" t="str">
        <f>"5145899795"</f>
        <v>5145899795</v>
      </c>
      <c r="K1088" t="s">
        <v>4253</v>
      </c>
      <c r="L1088" t="s">
        <v>27</v>
      </c>
      <c r="M1088" t="s">
        <v>21</v>
      </c>
    </row>
    <row r="1089" spans="1:13" x14ac:dyDescent="0.35">
      <c r="A1089" t="str">
        <f>"625-8382"</f>
        <v>625-8382</v>
      </c>
      <c r="B1089" t="s">
        <v>4254</v>
      </c>
      <c r="C1089" t="str">
        <f>"6000"</f>
        <v>6000</v>
      </c>
      <c r="D1089" t="str">
        <f>"10"</f>
        <v>10</v>
      </c>
      <c r="E1089" t="s">
        <v>814</v>
      </c>
      <c r="F1089" t="s">
        <v>24</v>
      </c>
      <c r="G1089" t="s">
        <v>4255</v>
      </c>
      <c r="H1089" t="s">
        <v>17</v>
      </c>
      <c r="I1089" t="s">
        <v>18</v>
      </c>
      <c r="J1089" t="str">
        <f>"4387253737"</f>
        <v>4387253737</v>
      </c>
      <c r="K1089" t="s">
        <v>4256</v>
      </c>
      <c r="L1089" t="s">
        <v>86</v>
      </c>
      <c r="M1089" t="s">
        <v>21</v>
      </c>
    </row>
    <row r="1090" spans="1:13" x14ac:dyDescent="0.35">
      <c r="A1090" t="str">
        <f>"625-8663"</f>
        <v>625-8663</v>
      </c>
      <c r="B1090" t="s">
        <v>4257</v>
      </c>
      <c r="C1090" t="str">
        <f>"12394"</f>
        <v>12394</v>
      </c>
      <c r="E1090" t="s">
        <v>4258</v>
      </c>
      <c r="F1090" t="s">
        <v>24</v>
      </c>
      <c r="G1090" t="s">
        <v>4259</v>
      </c>
      <c r="H1090" t="s">
        <v>17</v>
      </c>
      <c r="I1090" t="s">
        <v>18</v>
      </c>
      <c r="J1090" t="str">
        <f>"4388670827"</f>
        <v>4388670827</v>
      </c>
      <c r="K1090" t="s">
        <v>4260</v>
      </c>
      <c r="L1090" t="s">
        <v>383</v>
      </c>
      <c r="M1090" t="s">
        <v>21</v>
      </c>
    </row>
    <row r="1091" spans="1:13" x14ac:dyDescent="0.35">
      <c r="A1091" t="str">
        <f>"957-2610"</f>
        <v>957-2610</v>
      </c>
      <c r="B1091" t="s">
        <v>4261</v>
      </c>
      <c r="C1091" t="str">
        <f>"176"</f>
        <v>176</v>
      </c>
      <c r="E1091" t="s">
        <v>4262</v>
      </c>
      <c r="F1091" t="s">
        <v>1776</v>
      </c>
      <c r="G1091" t="s">
        <v>4263</v>
      </c>
      <c r="H1091" t="s">
        <v>17</v>
      </c>
      <c r="I1091" t="s">
        <v>18</v>
      </c>
      <c r="J1091" t="str">
        <f>"5149476563"</f>
        <v>5149476563</v>
      </c>
      <c r="K1091" t="s">
        <v>4264</v>
      </c>
      <c r="L1091" t="s">
        <v>20</v>
      </c>
      <c r="M1091" t="s">
        <v>21</v>
      </c>
    </row>
    <row r="1092" spans="1:13" x14ac:dyDescent="0.35">
      <c r="A1092" t="str">
        <f>"965-4856"</f>
        <v>965-4856</v>
      </c>
      <c r="B1092" t="s">
        <v>4265</v>
      </c>
      <c r="C1092" t="str">
        <f>"6757"</f>
        <v>6757</v>
      </c>
      <c r="E1092" t="s">
        <v>67</v>
      </c>
      <c r="F1092" t="s">
        <v>24</v>
      </c>
      <c r="G1092" t="s">
        <v>4266</v>
      </c>
      <c r="H1092" t="s">
        <v>17</v>
      </c>
      <c r="I1092" t="s">
        <v>18</v>
      </c>
      <c r="J1092" t="str">
        <f>"5149295034"</f>
        <v>5149295034</v>
      </c>
      <c r="K1092" t="s">
        <v>4267</v>
      </c>
      <c r="L1092" t="s">
        <v>27</v>
      </c>
      <c r="M1092" t="s">
        <v>21</v>
      </c>
    </row>
    <row r="1093" spans="1:13" x14ac:dyDescent="0.35">
      <c r="A1093" t="str">
        <f>"965-5116"</f>
        <v>965-5116</v>
      </c>
      <c r="B1093" t="s">
        <v>4268</v>
      </c>
      <c r="C1093" t="str">
        <f>"10574"</f>
        <v>10574</v>
      </c>
      <c r="E1093" t="s">
        <v>4269</v>
      </c>
      <c r="F1093" t="s">
        <v>24</v>
      </c>
      <c r="G1093" t="s">
        <v>4270</v>
      </c>
      <c r="H1093" t="s">
        <v>17</v>
      </c>
      <c r="I1093" t="s">
        <v>18</v>
      </c>
      <c r="J1093" t="str">
        <f>"5142993617"</f>
        <v>5142993617</v>
      </c>
      <c r="K1093" t="s">
        <v>4271</v>
      </c>
      <c r="L1093" t="s">
        <v>20</v>
      </c>
      <c r="M1093" t="s">
        <v>21</v>
      </c>
    </row>
    <row r="1094" spans="1:13" x14ac:dyDescent="0.35">
      <c r="A1094" t="str">
        <f>"187-1336"</f>
        <v>187-1336</v>
      </c>
      <c r="B1094" t="s">
        <v>4272</v>
      </c>
      <c r="C1094" t="str">
        <f>"2037"</f>
        <v>2037</v>
      </c>
      <c r="E1094" t="s">
        <v>4273</v>
      </c>
      <c r="F1094" t="s">
        <v>54</v>
      </c>
      <c r="G1094" t="s">
        <v>4274</v>
      </c>
      <c r="H1094" t="s">
        <v>17</v>
      </c>
      <c r="I1094" t="s">
        <v>18</v>
      </c>
      <c r="J1094" t="str">
        <f>"5148171391"</f>
        <v>5148171391</v>
      </c>
      <c r="K1094" t="s">
        <v>4275</v>
      </c>
      <c r="L1094" t="s">
        <v>313</v>
      </c>
      <c r="M1094" t="s">
        <v>21</v>
      </c>
    </row>
    <row r="1095" spans="1:13" x14ac:dyDescent="0.35">
      <c r="A1095" t="str">
        <f>"207-8418"</f>
        <v>207-8418</v>
      </c>
      <c r="B1095" t="s">
        <v>4276</v>
      </c>
      <c r="C1095" t="str">
        <f>"3833"</f>
        <v>3833</v>
      </c>
      <c r="E1095" t="s">
        <v>4277</v>
      </c>
      <c r="F1095" t="s">
        <v>157</v>
      </c>
      <c r="G1095" t="s">
        <v>4278</v>
      </c>
      <c r="H1095" t="s">
        <v>17</v>
      </c>
      <c r="I1095" t="s">
        <v>18</v>
      </c>
      <c r="J1095" t="str">
        <f>"4504621149"</f>
        <v>4504621149</v>
      </c>
      <c r="K1095" t="s">
        <v>4279</v>
      </c>
      <c r="L1095" t="s">
        <v>132</v>
      </c>
      <c r="M1095" t="s">
        <v>21</v>
      </c>
    </row>
    <row r="1096" spans="1:13" x14ac:dyDescent="0.35">
      <c r="A1096" t="str">
        <f>"207-8933"</f>
        <v>207-8933</v>
      </c>
      <c r="B1096" t="s">
        <v>4280</v>
      </c>
      <c r="C1096" t="str">
        <f>"1265"</f>
        <v>1265</v>
      </c>
      <c r="E1096" t="s">
        <v>2293</v>
      </c>
      <c r="F1096" t="s">
        <v>157</v>
      </c>
      <c r="G1096" t="s">
        <v>2294</v>
      </c>
      <c r="H1096" t="s">
        <v>17</v>
      </c>
      <c r="I1096" t="s">
        <v>18</v>
      </c>
      <c r="J1096" t="str">
        <f>"4382256031"</f>
        <v>4382256031</v>
      </c>
      <c r="K1096" t="s">
        <v>4281</v>
      </c>
      <c r="L1096" t="s">
        <v>39</v>
      </c>
      <c r="M1096" t="s">
        <v>21</v>
      </c>
    </row>
    <row r="1097" spans="1:13" x14ac:dyDescent="0.35">
      <c r="A1097" t="str">
        <f>"215-1724"</f>
        <v>215-1724</v>
      </c>
      <c r="B1097" t="s">
        <v>4282</v>
      </c>
      <c r="C1097" t="str">
        <f>"22"</f>
        <v>22</v>
      </c>
      <c r="E1097" t="s">
        <v>4283</v>
      </c>
      <c r="F1097" t="s">
        <v>4284</v>
      </c>
      <c r="G1097" t="s">
        <v>4285</v>
      </c>
      <c r="H1097" t="s">
        <v>17</v>
      </c>
      <c r="I1097" t="s">
        <v>18</v>
      </c>
      <c r="J1097" t="str">
        <f>"5145067891"</f>
        <v>5145067891</v>
      </c>
      <c r="K1097" t="s">
        <v>4286</v>
      </c>
      <c r="L1097" t="s">
        <v>313</v>
      </c>
      <c r="M1097" t="s">
        <v>21</v>
      </c>
    </row>
    <row r="1098" spans="1:13" x14ac:dyDescent="0.35">
      <c r="A1098" t="str">
        <f>"215-3686"</f>
        <v>215-3686</v>
      </c>
      <c r="B1098" t="s">
        <v>4287</v>
      </c>
      <c r="C1098" t="str">
        <f>"2935"</f>
        <v>2935</v>
      </c>
      <c r="D1098" t="str">
        <f>"4"</f>
        <v>4</v>
      </c>
      <c r="E1098" t="s">
        <v>4288</v>
      </c>
      <c r="F1098" t="s">
        <v>24</v>
      </c>
      <c r="G1098" t="s">
        <v>4289</v>
      </c>
      <c r="H1098" t="s">
        <v>17</v>
      </c>
      <c r="I1098" t="s">
        <v>18</v>
      </c>
      <c r="J1098" t="str">
        <f>"4383771955"</f>
        <v>4383771955</v>
      </c>
      <c r="K1098" t="s">
        <v>4290</v>
      </c>
      <c r="L1098" t="s">
        <v>20</v>
      </c>
      <c r="M1098" t="s">
        <v>21</v>
      </c>
    </row>
    <row r="1099" spans="1:13" x14ac:dyDescent="0.35">
      <c r="A1099" t="str">
        <f>"622-9178"</f>
        <v>622-9178</v>
      </c>
      <c r="B1099" t="s">
        <v>4291</v>
      </c>
      <c r="C1099" t="str">
        <f>"2100"</f>
        <v>2100</v>
      </c>
      <c r="E1099" t="s">
        <v>4292</v>
      </c>
      <c r="F1099" t="s">
        <v>24</v>
      </c>
      <c r="G1099" t="s">
        <v>4293</v>
      </c>
      <c r="H1099" t="s">
        <v>17</v>
      </c>
      <c r="I1099" t="s">
        <v>18</v>
      </c>
      <c r="J1099" t="str">
        <f>"5149924983"</f>
        <v>5149924983</v>
      </c>
      <c r="K1099" t="s">
        <v>4294</v>
      </c>
      <c r="L1099" t="s">
        <v>27</v>
      </c>
      <c r="M1099" t="s">
        <v>21</v>
      </c>
    </row>
    <row r="1100" spans="1:13" x14ac:dyDescent="0.35">
      <c r="A1100" t="str">
        <f>"622-9309"</f>
        <v>622-9309</v>
      </c>
      <c r="B1100" t="s">
        <v>4295</v>
      </c>
      <c r="C1100" t="str">
        <f>"11336"</f>
        <v>11336</v>
      </c>
      <c r="E1100" t="s">
        <v>1920</v>
      </c>
      <c r="F1100" t="s">
        <v>24</v>
      </c>
      <c r="G1100" t="s">
        <v>4296</v>
      </c>
      <c r="H1100" t="s">
        <v>17</v>
      </c>
      <c r="I1100" t="s">
        <v>18</v>
      </c>
      <c r="J1100" t="str">
        <f>"1514774994"</f>
        <v>1514774994</v>
      </c>
      <c r="K1100" t="s">
        <v>4297</v>
      </c>
      <c r="L1100" t="s">
        <v>396</v>
      </c>
      <c r="M1100" t="s">
        <v>21</v>
      </c>
    </row>
    <row r="1101" spans="1:13" x14ac:dyDescent="0.35">
      <c r="A1101" t="str">
        <f>"622-9818"</f>
        <v>622-9818</v>
      </c>
      <c r="B1101" t="s">
        <v>4298</v>
      </c>
      <c r="C1101" t="str">
        <f>"75"</f>
        <v>75</v>
      </c>
      <c r="D1101" t="str">
        <f>"4"</f>
        <v>4</v>
      </c>
      <c r="E1101" t="s">
        <v>1409</v>
      </c>
      <c r="F1101" t="s">
        <v>624</v>
      </c>
      <c r="G1101" t="s">
        <v>4299</v>
      </c>
      <c r="H1101" t="s">
        <v>17</v>
      </c>
      <c r="I1101" t="s">
        <v>18</v>
      </c>
      <c r="J1101" t="str">
        <f>"4384931744"</f>
        <v>4384931744</v>
      </c>
      <c r="K1101" t="s">
        <v>4300</v>
      </c>
      <c r="L1101" t="s">
        <v>27</v>
      </c>
      <c r="M1101" t="s">
        <v>21</v>
      </c>
    </row>
    <row r="1102" spans="1:13" x14ac:dyDescent="0.35">
      <c r="A1102" t="str">
        <f>"622-9861"</f>
        <v>622-9861</v>
      </c>
      <c r="B1102" t="s">
        <v>4301</v>
      </c>
      <c r="C1102" t="str">
        <f>"5769"</f>
        <v>5769</v>
      </c>
      <c r="E1102" t="s">
        <v>4302</v>
      </c>
      <c r="F1102" t="s">
        <v>24</v>
      </c>
      <c r="G1102" t="s">
        <v>4303</v>
      </c>
      <c r="H1102" t="s">
        <v>17</v>
      </c>
      <c r="I1102" t="s">
        <v>18</v>
      </c>
      <c r="J1102" t="str">
        <f>"5142556664"</f>
        <v>5142556664</v>
      </c>
      <c r="K1102" t="s">
        <v>4304</v>
      </c>
      <c r="L1102" t="s">
        <v>137</v>
      </c>
      <c r="M1102" t="s">
        <v>21</v>
      </c>
    </row>
    <row r="1103" spans="1:13" x14ac:dyDescent="0.35">
      <c r="A1103" t="str">
        <f>"622-9942"</f>
        <v>622-9942</v>
      </c>
      <c r="B1103" t="s">
        <v>4305</v>
      </c>
      <c r="C1103" t="str">
        <f>"7910"</f>
        <v>7910</v>
      </c>
      <c r="D1103" t="str">
        <f>"3"</f>
        <v>3</v>
      </c>
      <c r="E1103" t="s">
        <v>4306</v>
      </c>
      <c r="F1103" t="s">
        <v>24</v>
      </c>
      <c r="G1103" t="s">
        <v>4307</v>
      </c>
      <c r="H1103" t="s">
        <v>17</v>
      </c>
      <c r="I1103" t="s">
        <v>18</v>
      </c>
      <c r="J1103" t="str">
        <f>"5145715431"</f>
        <v>5145715431</v>
      </c>
      <c r="K1103" t="s">
        <v>4308</v>
      </c>
      <c r="L1103" t="s">
        <v>137</v>
      </c>
      <c r="M1103" t="s">
        <v>21</v>
      </c>
    </row>
    <row r="1104" spans="1:13" x14ac:dyDescent="0.35">
      <c r="A1104" t="str">
        <f>"623-0040"</f>
        <v>623-0040</v>
      </c>
      <c r="B1104" t="s">
        <v>4309</v>
      </c>
      <c r="C1104" t="str">
        <f>"7122"</f>
        <v>7122</v>
      </c>
      <c r="D1104" t="str">
        <f>"102"</f>
        <v>102</v>
      </c>
      <c r="E1104" t="s">
        <v>840</v>
      </c>
      <c r="F1104" t="s">
        <v>24</v>
      </c>
      <c r="G1104" t="s">
        <v>4310</v>
      </c>
      <c r="H1104" t="s">
        <v>17</v>
      </c>
      <c r="I1104" t="s">
        <v>18</v>
      </c>
      <c r="J1104" t="str">
        <f>"5142730359"</f>
        <v>5142730359</v>
      </c>
      <c r="K1104" t="s">
        <v>4311</v>
      </c>
      <c r="L1104" t="s">
        <v>383</v>
      </c>
      <c r="M1104" t="s">
        <v>21</v>
      </c>
    </row>
    <row r="1105" spans="1:13" x14ac:dyDescent="0.35">
      <c r="A1105" t="str">
        <f>"623-2907"</f>
        <v>623-2907</v>
      </c>
      <c r="B1105" t="s">
        <v>4312</v>
      </c>
      <c r="C1105" t="str">
        <f>"1265"</f>
        <v>1265</v>
      </c>
      <c r="E1105" t="s">
        <v>4313</v>
      </c>
      <c r="F1105" t="s">
        <v>4314</v>
      </c>
      <c r="G1105" t="s">
        <v>4315</v>
      </c>
      <c r="H1105" t="s">
        <v>17</v>
      </c>
      <c r="I1105" t="s">
        <v>18</v>
      </c>
      <c r="J1105" t="str">
        <f>"8195243366"</f>
        <v>8195243366</v>
      </c>
      <c r="K1105" t="s">
        <v>4316</v>
      </c>
      <c r="L1105" t="s">
        <v>319</v>
      </c>
      <c r="M1105" t="s">
        <v>21</v>
      </c>
    </row>
    <row r="1106" spans="1:13" x14ac:dyDescent="0.35">
      <c r="A1106" t="str">
        <f>"623-3144"</f>
        <v>623-3144</v>
      </c>
      <c r="B1106" t="s">
        <v>4317</v>
      </c>
      <c r="C1106" t="str">
        <f>"6590"</f>
        <v>6590</v>
      </c>
      <c r="E1106" t="s">
        <v>642</v>
      </c>
      <c r="F1106" t="s">
        <v>24</v>
      </c>
      <c r="G1106" t="s">
        <v>4318</v>
      </c>
      <c r="H1106" t="s">
        <v>17</v>
      </c>
      <c r="I1106" t="s">
        <v>18</v>
      </c>
      <c r="J1106" t="str">
        <f>"4388795912"</f>
        <v>4388795912</v>
      </c>
      <c r="K1106" t="s">
        <v>4319</v>
      </c>
      <c r="L1106" t="s">
        <v>27</v>
      </c>
      <c r="M1106" t="s">
        <v>21</v>
      </c>
    </row>
    <row r="1107" spans="1:13" x14ac:dyDescent="0.35">
      <c r="A1107" t="str">
        <f>"623-3324"</f>
        <v>623-3324</v>
      </c>
      <c r="B1107" t="s">
        <v>4320</v>
      </c>
      <c r="C1107" t="str">
        <f>"8081"</f>
        <v>8081</v>
      </c>
      <c r="E1107" t="s">
        <v>4321</v>
      </c>
      <c r="F1107" t="s">
        <v>24</v>
      </c>
      <c r="G1107" t="s">
        <v>4322</v>
      </c>
      <c r="H1107" t="s">
        <v>17</v>
      </c>
      <c r="I1107" t="s">
        <v>18</v>
      </c>
      <c r="J1107" t="str">
        <f>"5147128804"</f>
        <v>5147128804</v>
      </c>
      <c r="K1107" t="s">
        <v>4323</v>
      </c>
      <c r="L1107" t="s">
        <v>220</v>
      </c>
      <c r="M1107" t="s">
        <v>21</v>
      </c>
    </row>
    <row r="1108" spans="1:13" x14ac:dyDescent="0.35">
      <c r="A1108" t="str">
        <f>"624-6201"</f>
        <v>624-6201</v>
      </c>
      <c r="B1108" t="s">
        <v>4324</v>
      </c>
      <c r="C1108" t="str">
        <f>"9220"</f>
        <v>9220</v>
      </c>
      <c r="E1108" t="s">
        <v>4325</v>
      </c>
      <c r="F1108" t="s">
        <v>656</v>
      </c>
      <c r="G1108" t="s">
        <v>4326</v>
      </c>
      <c r="H1108" t="s">
        <v>17</v>
      </c>
      <c r="I1108" t="s">
        <v>18</v>
      </c>
      <c r="J1108" t="str">
        <f>"5145612676"</f>
        <v>5145612676</v>
      </c>
      <c r="K1108" t="s">
        <v>4327</v>
      </c>
      <c r="L1108" t="s">
        <v>39</v>
      </c>
      <c r="M1108" t="s">
        <v>21</v>
      </c>
    </row>
    <row r="1109" spans="1:13" x14ac:dyDescent="0.35">
      <c r="A1109" t="str">
        <f>"624-6327"</f>
        <v>624-6327</v>
      </c>
      <c r="B1109" t="s">
        <v>4328</v>
      </c>
      <c r="C1109" t="str">
        <f>"6955"</f>
        <v>6955</v>
      </c>
      <c r="E1109" t="s">
        <v>814</v>
      </c>
      <c r="F1109" t="s">
        <v>24</v>
      </c>
      <c r="G1109" t="s">
        <v>4329</v>
      </c>
      <c r="H1109" t="s">
        <v>17</v>
      </c>
      <c r="I1109" t="s">
        <v>18</v>
      </c>
      <c r="J1109" t="str">
        <f>"5146800798"</f>
        <v>5146800798</v>
      </c>
      <c r="K1109" t="s">
        <v>4330</v>
      </c>
      <c r="L1109" t="s">
        <v>396</v>
      </c>
      <c r="M1109" t="s">
        <v>21</v>
      </c>
    </row>
    <row r="1110" spans="1:13" x14ac:dyDescent="0.35">
      <c r="A1110" t="str">
        <f>"624-6502"</f>
        <v>624-6502</v>
      </c>
      <c r="B1110" t="s">
        <v>4331</v>
      </c>
      <c r="C1110" t="str">
        <f>"5207"</f>
        <v>5207</v>
      </c>
      <c r="E1110" t="s">
        <v>635</v>
      </c>
      <c r="F1110" t="s">
        <v>24</v>
      </c>
      <c r="G1110" t="s">
        <v>4332</v>
      </c>
      <c r="H1110" t="s">
        <v>17</v>
      </c>
      <c r="I1110" t="s">
        <v>18</v>
      </c>
      <c r="J1110" t="str">
        <f>"5142610820"</f>
        <v>5142610820</v>
      </c>
      <c r="K1110" t="s">
        <v>4333</v>
      </c>
      <c r="L1110" t="s">
        <v>869</v>
      </c>
      <c r="M1110" t="s">
        <v>21</v>
      </c>
    </row>
    <row r="1111" spans="1:13" x14ac:dyDescent="0.35">
      <c r="A1111" t="str">
        <f>"087-3182"</f>
        <v>087-3182</v>
      </c>
      <c r="B1111" t="s">
        <v>4334</v>
      </c>
      <c r="C1111" t="str">
        <f>"9314"</f>
        <v>9314</v>
      </c>
      <c r="E1111" t="s">
        <v>485</v>
      </c>
      <c r="F1111" t="s">
        <v>24</v>
      </c>
      <c r="G1111" t="s">
        <v>486</v>
      </c>
      <c r="H1111" t="s">
        <v>17</v>
      </c>
      <c r="I1111" t="s">
        <v>18</v>
      </c>
      <c r="J1111" t="str">
        <f>"4388685208"</f>
        <v>4388685208</v>
      </c>
      <c r="K1111" t="s">
        <v>4335</v>
      </c>
      <c r="L1111" t="s">
        <v>20</v>
      </c>
      <c r="M1111" t="s">
        <v>21</v>
      </c>
    </row>
    <row r="1112" spans="1:13" x14ac:dyDescent="0.35">
      <c r="A1112" t="str">
        <f>"096-2418"</f>
        <v>096-2418</v>
      </c>
      <c r="B1112" t="s">
        <v>4336</v>
      </c>
      <c r="C1112" t="str">
        <f>"953"</f>
        <v>953</v>
      </c>
      <c r="E1112" t="s">
        <v>4337</v>
      </c>
      <c r="F1112" t="s">
        <v>229</v>
      </c>
      <c r="G1112" t="s">
        <v>4338</v>
      </c>
      <c r="H1112" t="s">
        <v>17</v>
      </c>
      <c r="I1112" t="s">
        <v>18</v>
      </c>
      <c r="J1112" t="str">
        <f>"5142917142"</f>
        <v>5142917142</v>
      </c>
      <c r="K1112" t="s">
        <v>4339</v>
      </c>
      <c r="L1112" t="s">
        <v>20</v>
      </c>
      <c r="M1112" t="s">
        <v>21</v>
      </c>
    </row>
    <row r="1113" spans="1:13" x14ac:dyDescent="0.35">
      <c r="A1113" t="str">
        <f>"626-2696"</f>
        <v>626-2696</v>
      </c>
      <c r="B1113" t="s">
        <v>4340</v>
      </c>
      <c r="C1113" t="str">
        <f>"3585"</f>
        <v>3585</v>
      </c>
      <c r="D1113" t="str">
        <f>"201"</f>
        <v>201</v>
      </c>
      <c r="E1113" t="s">
        <v>4341</v>
      </c>
      <c r="F1113" t="s">
        <v>24</v>
      </c>
      <c r="G1113" t="s">
        <v>4342</v>
      </c>
      <c r="H1113" t="s">
        <v>17</v>
      </c>
      <c r="I1113" t="s">
        <v>18</v>
      </c>
      <c r="J1113" t="str">
        <f>"5145930016"</f>
        <v>5145930016</v>
      </c>
      <c r="K1113" t="s">
        <v>4343</v>
      </c>
      <c r="L1113" t="s">
        <v>88</v>
      </c>
      <c r="M1113" t="s">
        <v>21</v>
      </c>
    </row>
    <row r="1114" spans="1:13" x14ac:dyDescent="0.35">
      <c r="A1114" t="str">
        <f>"144-8749"</f>
        <v>144-8749</v>
      </c>
      <c r="B1114" t="s">
        <v>4344</v>
      </c>
      <c r="C1114" t="str">
        <f>"5760"</f>
        <v>5760</v>
      </c>
      <c r="E1114" t="s">
        <v>1962</v>
      </c>
      <c r="F1114" t="s">
        <v>24</v>
      </c>
      <c r="G1114" t="s">
        <v>4345</v>
      </c>
      <c r="H1114" t="s">
        <v>17</v>
      </c>
      <c r="I1114" t="s">
        <v>18</v>
      </c>
      <c r="J1114" t="str">
        <f>"4388204840"</f>
        <v>4388204840</v>
      </c>
      <c r="K1114" t="s">
        <v>4346</v>
      </c>
      <c r="L1114" t="s">
        <v>27</v>
      </c>
      <c r="M1114" t="s">
        <v>21</v>
      </c>
    </row>
    <row r="1115" spans="1:13" x14ac:dyDescent="0.35">
      <c r="A1115" t="str">
        <f>"168-4901"</f>
        <v>168-4901</v>
      </c>
      <c r="B1115" t="s">
        <v>4347</v>
      </c>
      <c r="C1115" t="str">
        <f>"580"</f>
        <v>580</v>
      </c>
      <c r="E1115" t="s">
        <v>4348</v>
      </c>
      <c r="F1115" t="s">
        <v>157</v>
      </c>
      <c r="G1115" t="s">
        <v>4349</v>
      </c>
      <c r="H1115" t="s">
        <v>17</v>
      </c>
      <c r="I1115" t="s">
        <v>18</v>
      </c>
      <c r="J1115" t="str">
        <f>"4506268032"</f>
        <v>4506268032</v>
      </c>
      <c r="K1115" t="s">
        <v>4350</v>
      </c>
      <c r="L1115" t="s">
        <v>198</v>
      </c>
      <c r="M1115" t="s">
        <v>21</v>
      </c>
    </row>
    <row r="1116" spans="1:13" x14ac:dyDescent="0.35">
      <c r="A1116" t="str">
        <f>"168-7055"</f>
        <v>168-7055</v>
      </c>
      <c r="B1116" t="s">
        <v>4351</v>
      </c>
      <c r="C1116" t="str">
        <f>"1325"</f>
        <v>1325</v>
      </c>
      <c r="E1116" t="s">
        <v>4352</v>
      </c>
      <c r="F1116" t="s">
        <v>24</v>
      </c>
      <c r="G1116" t="s">
        <v>4353</v>
      </c>
      <c r="H1116" t="s">
        <v>17</v>
      </c>
      <c r="I1116" t="s">
        <v>18</v>
      </c>
      <c r="J1116" t="str">
        <f>"5145572823"</f>
        <v>5145572823</v>
      </c>
      <c r="K1116" t="s">
        <v>4354</v>
      </c>
      <c r="L1116" t="s">
        <v>220</v>
      </c>
      <c r="M1116" t="s">
        <v>21</v>
      </c>
    </row>
    <row r="1117" spans="1:13" x14ac:dyDescent="0.35">
      <c r="A1117" t="str">
        <f>"194-1956"</f>
        <v>194-1956</v>
      </c>
      <c r="B1117" t="s">
        <v>4355</v>
      </c>
      <c r="C1117" t="str">
        <f>"530"</f>
        <v>530</v>
      </c>
      <c r="E1117" t="s">
        <v>4356</v>
      </c>
      <c r="F1117" t="s">
        <v>4357</v>
      </c>
      <c r="G1117" t="s">
        <v>4358</v>
      </c>
      <c r="H1117" t="s">
        <v>17</v>
      </c>
      <c r="I1117" t="s">
        <v>18</v>
      </c>
      <c r="J1117" t="str">
        <f>"8195881831"</f>
        <v>8195881831</v>
      </c>
      <c r="K1117" t="s">
        <v>4359</v>
      </c>
      <c r="L1117" t="s">
        <v>20</v>
      </c>
      <c r="M1117" t="s">
        <v>21</v>
      </c>
    </row>
    <row r="1118" spans="1:13" x14ac:dyDescent="0.35">
      <c r="A1118" t="str">
        <f>"194-6931"</f>
        <v>194-6931</v>
      </c>
      <c r="B1118" t="s">
        <v>4360</v>
      </c>
      <c r="C1118" t="str">
        <f>"6720"</f>
        <v>6720</v>
      </c>
      <c r="E1118" t="s">
        <v>4361</v>
      </c>
      <c r="F1118" t="s">
        <v>4362</v>
      </c>
      <c r="G1118" t="s">
        <v>4363</v>
      </c>
      <c r="H1118" t="s">
        <v>17</v>
      </c>
      <c r="I1118" t="s">
        <v>18</v>
      </c>
      <c r="J1118" t="str">
        <f>"4507963023"</f>
        <v>4507963023</v>
      </c>
      <c r="K1118" t="s">
        <v>4364</v>
      </c>
      <c r="L1118" t="s">
        <v>313</v>
      </c>
      <c r="M1118" t="s">
        <v>21</v>
      </c>
    </row>
    <row r="1119" spans="1:13" x14ac:dyDescent="0.35">
      <c r="A1119" t="str">
        <f>"207-5499"</f>
        <v>207-5499</v>
      </c>
      <c r="B1119" t="s">
        <v>4365</v>
      </c>
      <c r="C1119" t="str">
        <f>"37"</f>
        <v>37</v>
      </c>
      <c r="E1119" t="s">
        <v>4366</v>
      </c>
      <c r="F1119" t="s">
        <v>43</v>
      </c>
      <c r="G1119" t="s">
        <v>4367</v>
      </c>
      <c r="H1119" t="s">
        <v>17</v>
      </c>
      <c r="I1119" t="s">
        <v>18</v>
      </c>
      <c r="J1119" t="str">
        <f>"4502718955"</f>
        <v>4502718955</v>
      </c>
      <c r="K1119" t="s">
        <v>4368</v>
      </c>
      <c r="L1119" t="s">
        <v>350</v>
      </c>
      <c r="M1119" t="s">
        <v>21</v>
      </c>
    </row>
    <row r="1120" spans="1:13" x14ac:dyDescent="0.35">
      <c r="A1120" t="str">
        <f>"207-7046"</f>
        <v>207-7046</v>
      </c>
      <c r="B1120" t="s">
        <v>4369</v>
      </c>
      <c r="C1120" t="str">
        <f>"300"</f>
        <v>300</v>
      </c>
      <c r="E1120" t="s">
        <v>4370</v>
      </c>
      <c r="F1120" t="s">
        <v>54</v>
      </c>
      <c r="G1120" t="s">
        <v>4371</v>
      </c>
      <c r="H1120" t="s">
        <v>17</v>
      </c>
      <c r="I1120" t="s">
        <v>18</v>
      </c>
      <c r="J1120" t="str">
        <f>"5145722867"</f>
        <v>5145722867</v>
      </c>
      <c r="K1120" t="s">
        <v>4372</v>
      </c>
      <c r="L1120" t="s">
        <v>350</v>
      </c>
      <c r="M1120" t="s">
        <v>21</v>
      </c>
    </row>
    <row r="1121" spans="1:13" x14ac:dyDescent="0.35">
      <c r="A1121" t="str">
        <f>"212-5354"</f>
        <v>212-5354</v>
      </c>
      <c r="B1121" t="s">
        <v>4373</v>
      </c>
      <c r="C1121" t="str">
        <f>"1216"</f>
        <v>1216</v>
      </c>
      <c r="E1121" t="s">
        <v>4374</v>
      </c>
      <c r="F1121" t="s">
        <v>54</v>
      </c>
      <c r="G1121" t="s">
        <v>4375</v>
      </c>
      <c r="H1121" t="s">
        <v>17</v>
      </c>
      <c r="I1121" t="s">
        <v>18</v>
      </c>
      <c r="J1121" t="str">
        <f>"5142659236"</f>
        <v>5142659236</v>
      </c>
      <c r="K1121" t="s">
        <v>4376</v>
      </c>
      <c r="L1121" t="s">
        <v>383</v>
      </c>
      <c r="M1121" t="s">
        <v>21</v>
      </c>
    </row>
    <row r="1122" spans="1:13" x14ac:dyDescent="0.35">
      <c r="A1122" t="str">
        <f>"217-9895"</f>
        <v>217-9895</v>
      </c>
      <c r="B1122" t="s">
        <v>4377</v>
      </c>
      <c r="C1122" t="str">
        <f>"8271"</f>
        <v>8271</v>
      </c>
      <c r="D1122" t="str">
        <f>"2"</f>
        <v>2</v>
      </c>
      <c r="E1122" t="s">
        <v>1912</v>
      </c>
      <c r="F1122" t="s">
        <v>24</v>
      </c>
      <c r="G1122" t="s">
        <v>1913</v>
      </c>
      <c r="H1122" t="s">
        <v>17</v>
      </c>
      <c r="I1122" t="s">
        <v>18</v>
      </c>
      <c r="J1122" t="str">
        <f>"5144302217"</f>
        <v>5144302217</v>
      </c>
      <c r="K1122" t="s">
        <v>4378</v>
      </c>
      <c r="L1122" t="s">
        <v>27</v>
      </c>
      <c r="M1122" t="s">
        <v>21</v>
      </c>
    </row>
    <row r="1123" spans="1:13" x14ac:dyDescent="0.35">
      <c r="A1123" t="str">
        <f>"225-5393"</f>
        <v>225-5393</v>
      </c>
      <c r="B1123" t="s">
        <v>4379</v>
      </c>
      <c r="C1123" t="str">
        <f>"660"</f>
        <v>660</v>
      </c>
      <c r="E1123" t="s">
        <v>4380</v>
      </c>
      <c r="F1123" t="s">
        <v>54</v>
      </c>
      <c r="G1123" t="s">
        <v>4381</v>
      </c>
      <c r="H1123" t="s">
        <v>17</v>
      </c>
      <c r="I1123" t="s">
        <v>18</v>
      </c>
      <c r="J1123" t="str">
        <f>"4382274240"</f>
        <v>4382274240</v>
      </c>
      <c r="K1123" t="s">
        <v>4382</v>
      </c>
      <c r="L1123" t="s">
        <v>466</v>
      </c>
      <c r="M1123" t="s">
        <v>21</v>
      </c>
    </row>
    <row r="1124" spans="1:13" x14ac:dyDescent="0.35">
      <c r="A1124" t="str">
        <f>"225-5977"</f>
        <v>225-5977</v>
      </c>
      <c r="B1124" t="s">
        <v>4383</v>
      </c>
      <c r="C1124" t="str">
        <f>"619"</f>
        <v>619</v>
      </c>
      <c r="D1124" t="str">
        <f>"4"</f>
        <v>4</v>
      </c>
      <c r="E1124" t="s">
        <v>4384</v>
      </c>
      <c r="F1124" t="s">
        <v>40</v>
      </c>
      <c r="G1124" t="s">
        <v>4385</v>
      </c>
      <c r="H1124" t="s">
        <v>17</v>
      </c>
      <c r="I1124" t="s">
        <v>18</v>
      </c>
      <c r="J1124" t="str">
        <f>"5144449356"</f>
        <v>5144449356</v>
      </c>
      <c r="K1124" t="s">
        <v>4386</v>
      </c>
      <c r="L1124" t="s">
        <v>39</v>
      </c>
      <c r="M1124" t="s">
        <v>21</v>
      </c>
    </row>
    <row r="1125" spans="1:13" x14ac:dyDescent="0.35">
      <c r="A1125" t="str">
        <f>"229-0380"</f>
        <v>229-0380</v>
      </c>
      <c r="B1125" t="s">
        <v>4387</v>
      </c>
      <c r="C1125" t="str">
        <f>"8732"</f>
        <v>8732</v>
      </c>
      <c r="E1125" t="s">
        <v>4388</v>
      </c>
      <c r="F1125" t="s">
        <v>24</v>
      </c>
      <c r="G1125" t="s">
        <v>4389</v>
      </c>
      <c r="H1125" t="s">
        <v>17</v>
      </c>
      <c r="I1125" t="s">
        <v>18</v>
      </c>
      <c r="J1125" t="str">
        <f>"5148360833"</f>
        <v>5148360833</v>
      </c>
      <c r="K1125" t="s">
        <v>4390</v>
      </c>
      <c r="L1125" t="s">
        <v>137</v>
      </c>
      <c r="M1125" t="s">
        <v>21</v>
      </c>
    </row>
    <row r="1126" spans="1:13" x14ac:dyDescent="0.35">
      <c r="A1126" t="str">
        <f>"229-2642"</f>
        <v>229-2642</v>
      </c>
      <c r="B1126" t="s">
        <v>4391</v>
      </c>
      <c r="C1126" t="str">
        <f>"11600"</f>
        <v>11600</v>
      </c>
      <c r="D1126" t="str">
        <f>"6"</f>
        <v>6</v>
      </c>
      <c r="E1126" t="s">
        <v>978</v>
      </c>
      <c r="F1126" t="s">
        <v>24</v>
      </c>
      <c r="G1126" t="s">
        <v>4392</v>
      </c>
      <c r="H1126" t="s">
        <v>17</v>
      </c>
      <c r="I1126" t="s">
        <v>18</v>
      </c>
      <c r="J1126" t="str">
        <f>"4385287083"</f>
        <v>4385287083</v>
      </c>
      <c r="K1126" t="s">
        <v>4393</v>
      </c>
      <c r="L1126" t="s">
        <v>396</v>
      </c>
      <c r="M1126" t="s">
        <v>21</v>
      </c>
    </row>
    <row r="1127" spans="1:13" x14ac:dyDescent="0.35">
      <c r="A1127" t="str">
        <f>"235-4687"</f>
        <v>235-4687</v>
      </c>
      <c r="B1127" t="s">
        <v>4394</v>
      </c>
      <c r="C1127" t="str">
        <f>"2335"</f>
        <v>2335</v>
      </c>
      <c r="E1127" t="s">
        <v>4395</v>
      </c>
      <c r="F1127" t="s">
        <v>256</v>
      </c>
      <c r="G1127" t="s">
        <v>4396</v>
      </c>
      <c r="H1127" t="s">
        <v>17</v>
      </c>
      <c r="I1127" t="s">
        <v>18</v>
      </c>
      <c r="J1127" t="str">
        <f>"5144769705"</f>
        <v>5144769705</v>
      </c>
      <c r="K1127" t="s">
        <v>4397</v>
      </c>
      <c r="L1127" t="s">
        <v>76</v>
      </c>
      <c r="M1127" t="s">
        <v>21</v>
      </c>
    </row>
    <row r="1128" spans="1:13" x14ac:dyDescent="0.35">
      <c r="A1128" t="str">
        <f>"235-7992"</f>
        <v>235-7992</v>
      </c>
      <c r="B1128" t="s">
        <v>4398</v>
      </c>
      <c r="C1128" t="str">
        <f>"1265"</f>
        <v>1265</v>
      </c>
      <c r="E1128" t="s">
        <v>2809</v>
      </c>
      <c r="F1128" t="s">
        <v>24</v>
      </c>
      <c r="G1128" t="s">
        <v>4399</v>
      </c>
      <c r="H1128" t="s">
        <v>17</v>
      </c>
      <c r="I1128" t="s">
        <v>18</v>
      </c>
      <c r="J1128" t="str">
        <f>"4385216287"</f>
        <v>4385216287</v>
      </c>
      <c r="K1128" t="s">
        <v>4400</v>
      </c>
      <c r="L1128" t="s">
        <v>466</v>
      </c>
      <c r="M1128" t="s">
        <v>21</v>
      </c>
    </row>
    <row r="1129" spans="1:13" x14ac:dyDescent="0.35">
      <c r="A1129" t="str">
        <f>"235-8228"</f>
        <v>235-8228</v>
      </c>
      <c r="B1129" t="s">
        <v>4401</v>
      </c>
      <c r="C1129" t="str">
        <f>"6490"</f>
        <v>6490</v>
      </c>
      <c r="E1129" t="s">
        <v>3902</v>
      </c>
      <c r="F1129" t="s">
        <v>24</v>
      </c>
      <c r="G1129" t="s">
        <v>196</v>
      </c>
      <c r="H1129" t="s">
        <v>17</v>
      </c>
      <c r="I1129" t="s">
        <v>18</v>
      </c>
      <c r="J1129" t="str">
        <f>"4387797484"</f>
        <v>4387797484</v>
      </c>
      <c r="K1129" t="s">
        <v>4402</v>
      </c>
      <c r="L1129" t="s">
        <v>137</v>
      </c>
      <c r="M1129" t="s">
        <v>21</v>
      </c>
    </row>
    <row r="1130" spans="1:13" x14ac:dyDescent="0.35">
      <c r="A1130" t="str">
        <f>"235-8571"</f>
        <v>235-8571</v>
      </c>
      <c r="B1130" t="s">
        <v>4403</v>
      </c>
      <c r="C1130" t="str">
        <f>"15591"</f>
        <v>15591</v>
      </c>
      <c r="E1130" t="s">
        <v>861</v>
      </c>
      <c r="F1130" t="s">
        <v>24</v>
      </c>
      <c r="G1130" t="s">
        <v>4404</v>
      </c>
      <c r="H1130" t="s">
        <v>17</v>
      </c>
      <c r="I1130" t="s">
        <v>18</v>
      </c>
      <c r="J1130" t="str">
        <f>"4385215906"</f>
        <v>4385215906</v>
      </c>
      <c r="K1130" t="s">
        <v>4405</v>
      </c>
      <c r="L1130" t="s">
        <v>168</v>
      </c>
      <c r="M1130" t="s">
        <v>21</v>
      </c>
    </row>
    <row r="1131" spans="1:13" x14ac:dyDescent="0.35">
      <c r="A1131" t="str">
        <f>"235-8620"</f>
        <v>235-8620</v>
      </c>
      <c r="B1131" t="s">
        <v>4406</v>
      </c>
      <c r="C1131" t="str">
        <f>"6274"</f>
        <v>6274</v>
      </c>
      <c r="D1131" t="str">
        <f>"1"</f>
        <v>1</v>
      </c>
      <c r="E1131" t="s">
        <v>4407</v>
      </c>
      <c r="F1131" t="s">
        <v>24</v>
      </c>
      <c r="G1131" t="s">
        <v>4408</v>
      </c>
      <c r="H1131" t="s">
        <v>17</v>
      </c>
      <c r="I1131" t="s">
        <v>18</v>
      </c>
      <c r="J1131" t="str">
        <f>"4382208103"</f>
        <v>4382208103</v>
      </c>
      <c r="K1131" t="s">
        <v>4409</v>
      </c>
      <c r="L1131" t="s">
        <v>333</v>
      </c>
      <c r="M1131" t="s">
        <v>21</v>
      </c>
    </row>
    <row r="1132" spans="1:13" x14ac:dyDescent="0.35">
      <c r="A1132" t="str">
        <f>"236-2311"</f>
        <v>236-2311</v>
      </c>
      <c r="B1132" t="s">
        <v>4410</v>
      </c>
      <c r="C1132" t="str">
        <f>"4469"</f>
        <v>4469</v>
      </c>
      <c r="E1132" t="s">
        <v>4411</v>
      </c>
      <c r="F1132" t="s">
        <v>24</v>
      </c>
      <c r="G1132" t="s">
        <v>4412</v>
      </c>
      <c r="H1132" t="s">
        <v>17</v>
      </c>
      <c r="I1132" t="s">
        <v>18</v>
      </c>
      <c r="J1132" t="str">
        <f>"5142455071"</f>
        <v>5142455071</v>
      </c>
      <c r="K1132" t="s">
        <v>4413</v>
      </c>
      <c r="L1132" t="s">
        <v>27</v>
      </c>
      <c r="M1132" t="s">
        <v>21</v>
      </c>
    </row>
    <row r="1133" spans="1:13" x14ac:dyDescent="0.35">
      <c r="A1133" t="str">
        <f>"236-2499"</f>
        <v>236-2499</v>
      </c>
      <c r="B1133" t="s">
        <v>4414</v>
      </c>
      <c r="C1133" t="str">
        <f>"1885"</f>
        <v>1885</v>
      </c>
      <c r="D1133" t="str">
        <f>"05"</f>
        <v>05</v>
      </c>
      <c r="E1133" t="s">
        <v>281</v>
      </c>
      <c r="F1133" t="s">
        <v>24</v>
      </c>
      <c r="G1133" t="s">
        <v>4415</v>
      </c>
      <c r="H1133" t="s">
        <v>17</v>
      </c>
      <c r="I1133" t="s">
        <v>18</v>
      </c>
      <c r="J1133" t="str">
        <f>"4386222219"</f>
        <v>4386222219</v>
      </c>
      <c r="K1133" t="s">
        <v>4416</v>
      </c>
      <c r="L1133" t="s">
        <v>39</v>
      </c>
      <c r="M1133" t="s">
        <v>21</v>
      </c>
    </row>
    <row r="1134" spans="1:13" x14ac:dyDescent="0.35">
      <c r="A1134" t="str">
        <f>"236-2904"</f>
        <v>236-2904</v>
      </c>
      <c r="B1134" t="s">
        <v>4417</v>
      </c>
      <c r="C1134" t="str">
        <f>"6740"</f>
        <v>6740</v>
      </c>
      <c r="D1134" t="str">
        <f>"6"</f>
        <v>6</v>
      </c>
      <c r="E1134" t="s">
        <v>3505</v>
      </c>
      <c r="F1134" t="s">
        <v>24</v>
      </c>
      <c r="G1134" t="s">
        <v>4418</v>
      </c>
      <c r="H1134" t="s">
        <v>17</v>
      </c>
      <c r="I1134" t="s">
        <v>18</v>
      </c>
      <c r="J1134" t="str">
        <f>"5148389809"</f>
        <v>5148389809</v>
      </c>
      <c r="K1134" t="s">
        <v>4419</v>
      </c>
      <c r="L1134" t="s">
        <v>39</v>
      </c>
      <c r="M1134" t="s">
        <v>21</v>
      </c>
    </row>
    <row r="1135" spans="1:13" x14ac:dyDescent="0.35">
      <c r="A1135" t="str">
        <f>"236-3412"</f>
        <v>236-3412</v>
      </c>
      <c r="B1135" t="s">
        <v>4420</v>
      </c>
      <c r="C1135" t="str">
        <f>"1317"</f>
        <v>1317</v>
      </c>
      <c r="D1135" t="str">
        <f>"4"</f>
        <v>4</v>
      </c>
      <c r="E1135" t="s">
        <v>1183</v>
      </c>
      <c r="F1135" t="s">
        <v>24</v>
      </c>
      <c r="G1135" t="s">
        <v>4421</v>
      </c>
      <c r="H1135" t="s">
        <v>17</v>
      </c>
      <c r="I1135" t="s">
        <v>18</v>
      </c>
      <c r="J1135" t="str">
        <f>"5148089842"</f>
        <v>5148089842</v>
      </c>
      <c r="K1135" t="s">
        <v>4422</v>
      </c>
      <c r="L1135" t="s">
        <v>534</v>
      </c>
      <c r="M1135" t="s">
        <v>21</v>
      </c>
    </row>
    <row r="1136" spans="1:13" x14ac:dyDescent="0.35">
      <c r="A1136" t="str">
        <f>"236-4072"</f>
        <v>236-4072</v>
      </c>
      <c r="B1136" t="s">
        <v>4423</v>
      </c>
      <c r="C1136" t="str">
        <f>"630"</f>
        <v>630</v>
      </c>
      <c r="D1136" t="str">
        <f>"4"</f>
        <v>4</v>
      </c>
      <c r="E1136" t="s">
        <v>4424</v>
      </c>
      <c r="F1136" t="s">
        <v>4425</v>
      </c>
      <c r="G1136" t="s">
        <v>4426</v>
      </c>
      <c r="H1136" t="s">
        <v>17</v>
      </c>
      <c r="I1136" t="s">
        <v>18</v>
      </c>
      <c r="J1136" t="str">
        <f>"4185573978"</f>
        <v>4185573978</v>
      </c>
      <c r="K1136" t="s">
        <v>4427</v>
      </c>
      <c r="L1136" t="s">
        <v>20</v>
      </c>
      <c r="M1136" t="s">
        <v>21</v>
      </c>
    </row>
    <row r="1137" spans="1:13" x14ac:dyDescent="0.35">
      <c r="A1137" t="str">
        <f>"238-7808"</f>
        <v>238-7808</v>
      </c>
      <c r="B1137" t="s">
        <v>4428</v>
      </c>
      <c r="C1137" t="str">
        <f>"7750"</f>
        <v>7750</v>
      </c>
      <c r="E1137" t="s">
        <v>4429</v>
      </c>
      <c r="F1137" t="s">
        <v>24</v>
      </c>
      <c r="G1137" t="s">
        <v>4430</v>
      </c>
      <c r="H1137" t="s">
        <v>17</v>
      </c>
      <c r="I1137" t="s">
        <v>18</v>
      </c>
      <c r="J1137" t="str">
        <f>"5143539147"</f>
        <v>5143539147</v>
      </c>
      <c r="K1137" t="s">
        <v>4431</v>
      </c>
      <c r="L1137" t="s">
        <v>396</v>
      </c>
      <c r="M1137" t="s">
        <v>21</v>
      </c>
    </row>
    <row r="1138" spans="1:13" x14ac:dyDescent="0.35">
      <c r="A1138" t="str">
        <f>"238-8188"</f>
        <v>238-8188</v>
      </c>
      <c r="B1138" t="s">
        <v>4432</v>
      </c>
      <c r="C1138" t="str">
        <f>"315"</f>
        <v>315</v>
      </c>
      <c r="D1138" t="str">
        <f>"306"</f>
        <v>306</v>
      </c>
      <c r="E1138" t="s">
        <v>4433</v>
      </c>
      <c r="F1138" t="s">
        <v>24</v>
      </c>
      <c r="G1138" t="s">
        <v>4434</v>
      </c>
      <c r="H1138" t="s">
        <v>17</v>
      </c>
      <c r="I1138" t="s">
        <v>18</v>
      </c>
      <c r="J1138" t="str">
        <f>"5146296955"</f>
        <v>5146296955</v>
      </c>
      <c r="K1138" t="s">
        <v>4435</v>
      </c>
      <c r="L1138" t="s">
        <v>350</v>
      </c>
      <c r="M1138" t="s">
        <v>21</v>
      </c>
    </row>
    <row r="1139" spans="1:13" x14ac:dyDescent="0.35">
      <c r="A1139" t="str">
        <f>"238-8548"</f>
        <v>238-8548</v>
      </c>
      <c r="B1139" t="s">
        <v>4436</v>
      </c>
      <c r="C1139" t="str">
        <f>"2111"</f>
        <v>2111</v>
      </c>
      <c r="E1139" t="s">
        <v>4437</v>
      </c>
      <c r="F1139" t="s">
        <v>143</v>
      </c>
      <c r="G1139" t="s">
        <v>4438</v>
      </c>
      <c r="H1139" t="s">
        <v>17</v>
      </c>
      <c r="I1139" t="s">
        <v>18</v>
      </c>
      <c r="J1139" t="str">
        <f>"5147795111"</f>
        <v>5147795111</v>
      </c>
      <c r="K1139" t="s">
        <v>4439</v>
      </c>
      <c r="L1139" t="s">
        <v>396</v>
      </c>
      <c r="M1139" t="s">
        <v>21</v>
      </c>
    </row>
    <row r="1140" spans="1:13" x14ac:dyDescent="0.35">
      <c r="A1140" t="str">
        <f>"622-8287"</f>
        <v>622-8287</v>
      </c>
      <c r="B1140" t="s">
        <v>4440</v>
      </c>
      <c r="C1140" t="str">
        <f>"2223"</f>
        <v>2223</v>
      </c>
      <c r="E1140" t="s">
        <v>4441</v>
      </c>
      <c r="F1140" t="s">
        <v>143</v>
      </c>
      <c r="G1140" t="s">
        <v>4442</v>
      </c>
      <c r="H1140" t="s">
        <v>17</v>
      </c>
      <c r="I1140" t="s">
        <v>18</v>
      </c>
      <c r="J1140" t="str">
        <f>"5147045548"</f>
        <v>5147045548</v>
      </c>
      <c r="K1140" t="s">
        <v>4443</v>
      </c>
      <c r="L1140" t="s">
        <v>76</v>
      </c>
      <c r="M1140" t="s">
        <v>21</v>
      </c>
    </row>
    <row r="1141" spans="1:13" x14ac:dyDescent="0.35">
      <c r="A1141" t="str">
        <f>"622-8337"</f>
        <v>622-8337</v>
      </c>
      <c r="B1141" t="s">
        <v>4444</v>
      </c>
      <c r="C1141" t="str">
        <f>"7371"</f>
        <v>7371</v>
      </c>
      <c r="E1141" t="s">
        <v>4445</v>
      </c>
      <c r="F1141" t="s">
        <v>24</v>
      </c>
      <c r="G1141" t="s">
        <v>4446</v>
      </c>
      <c r="H1141" t="s">
        <v>17</v>
      </c>
      <c r="I1141" t="s">
        <v>18</v>
      </c>
      <c r="J1141" t="str">
        <f>"5145916500"</f>
        <v>5145916500</v>
      </c>
      <c r="K1141" t="s">
        <v>4447</v>
      </c>
      <c r="L1141" t="s">
        <v>137</v>
      </c>
      <c r="M1141" t="s">
        <v>21</v>
      </c>
    </row>
    <row r="1142" spans="1:13" x14ac:dyDescent="0.35">
      <c r="A1142" t="str">
        <f>"622-8728"</f>
        <v>622-8728</v>
      </c>
      <c r="B1142" t="s">
        <v>4448</v>
      </c>
      <c r="C1142" t="str">
        <f>"556"</f>
        <v>556</v>
      </c>
      <c r="E1142" t="s">
        <v>4449</v>
      </c>
      <c r="F1142" t="s">
        <v>1175</v>
      </c>
      <c r="G1142" t="s">
        <v>4450</v>
      </c>
      <c r="H1142" t="s">
        <v>17</v>
      </c>
      <c r="I1142" t="s">
        <v>18</v>
      </c>
      <c r="J1142" t="str">
        <f>"4385272268"</f>
        <v>4385272268</v>
      </c>
      <c r="K1142" t="s">
        <v>4451</v>
      </c>
      <c r="L1142" t="s">
        <v>29</v>
      </c>
      <c r="M1142" t="s">
        <v>21</v>
      </c>
    </row>
    <row r="1143" spans="1:13" x14ac:dyDescent="0.35">
      <c r="A1143" t="str">
        <f>"622-8932"</f>
        <v>622-8932</v>
      </c>
      <c r="B1143" t="s">
        <v>4452</v>
      </c>
      <c r="C1143" t="str">
        <f>"12264"</f>
        <v>12264</v>
      </c>
      <c r="E1143" t="s">
        <v>2870</v>
      </c>
      <c r="F1143" t="s">
        <v>24</v>
      </c>
      <c r="G1143" t="s">
        <v>4453</v>
      </c>
      <c r="H1143" t="s">
        <v>17</v>
      </c>
      <c r="I1143" t="s">
        <v>18</v>
      </c>
      <c r="J1143" t="str">
        <f>"4383764230"</f>
        <v>4383764230</v>
      </c>
      <c r="K1143" t="s">
        <v>4454</v>
      </c>
      <c r="L1143" t="s">
        <v>86</v>
      </c>
      <c r="M1143" t="s">
        <v>21</v>
      </c>
    </row>
    <row r="1144" spans="1:13" x14ac:dyDescent="0.35">
      <c r="A1144" t="str">
        <f>"622-8934"</f>
        <v>622-8934</v>
      </c>
      <c r="B1144" t="s">
        <v>4455</v>
      </c>
      <c r="C1144" t="str">
        <f>"12595"</f>
        <v>12595</v>
      </c>
      <c r="E1144" t="s">
        <v>4456</v>
      </c>
      <c r="F1144" t="s">
        <v>24</v>
      </c>
      <c r="G1144" t="s">
        <v>4457</v>
      </c>
      <c r="H1144" t="s">
        <v>17</v>
      </c>
      <c r="I1144" t="s">
        <v>18</v>
      </c>
      <c r="J1144" t="str">
        <f>"5145029294"</f>
        <v>5145029294</v>
      </c>
      <c r="K1144" t="s">
        <v>4458</v>
      </c>
      <c r="L1144" t="s">
        <v>27</v>
      </c>
      <c r="M1144" t="s">
        <v>21</v>
      </c>
    </row>
    <row r="1145" spans="1:13" x14ac:dyDescent="0.35">
      <c r="A1145" t="str">
        <f>"622-8945"</f>
        <v>622-8945</v>
      </c>
      <c r="B1145" t="s">
        <v>4459</v>
      </c>
      <c r="C1145" t="str">
        <f>"3850"</f>
        <v>3850</v>
      </c>
      <c r="E1145" t="s">
        <v>4460</v>
      </c>
      <c r="F1145" t="s">
        <v>24</v>
      </c>
      <c r="G1145" t="s">
        <v>4461</v>
      </c>
      <c r="H1145" t="s">
        <v>17</v>
      </c>
      <c r="I1145" t="s">
        <v>18</v>
      </c>
      <c r="J1145" t="str">
        <f>"5819996906"</f>
        <v>5819996906</v>
      </c>
      <c r="K1145" t="s">
        <v>4462</v>
      </c>
      <c r="L1145" t="s">
        <v>350</v>
      </c>
      <c r="M1145" t="s">
        <v>21</v>
      </c>
    </row>
    <row r="1146" spans="1:13" x14ac:dyDescent="0.35">
      <c r="A1146" t="str">
        <f>"623-1853"</f>
        <v>623-1853</v>
      </c>
      <c r="B1146" t="s">
        <v>4463</v>
      </c>
      <c r="C1146" t="str">
        <f>"3895"</f>
        <v>3895</v>
      </c>
      <c r="D1146" t="str">
        <f>"8"</f>
        <v>8</v>
      </c>
      <c r="E1146" t="s">
        <v>544</v>
      </c>
      <c r="F1146" t="s">
        <v>24</v>
      </c>
      <c r="G1146" t="s">
        <v>4464</v>
      </c>
      <c r="H1146" t="s">
        <v>17</v>
      </c>
      <c r="I1146" t="s">
        <v>18</v>
      </c>
      <c r="J1146" t="str">
        <f>"4385208665"</f>
        <v>4385208665</v>
      </c>
      <c r="K1146" t="s">
        <v>4465</v>
      </c>
      <c r="L1146" t="s">
        <v>86</v>
      </c>
      <c r="M1146" t="s">
        <v>21</v>
      </c>
    </row>
    <row r="1147" spans="1:13" x14ac:dyDescent="0.35">
      <c r="A1147" t="str">
        <f>"623-2126"</f>
        <v>623-2126</v>
      </c>
      <c r="B1147" t="s">
        <v>4466</v>
      </c>
      <c r="C1147" t="str">
        <f>"12312"</f>
        <v>12312</v>
      </c>
      <c r="E1147" t="s">
        <v>4467</v>
      </c>
      <c r="F1147" t="s">
        <v>24</v>
      </c>
      <c r="G1147" t="s">
        <v>4468</v>
      </c>
      <c r="H1147" t="s">
        <v>17</v>
      </c>
      <c r="I1147" t="s">
        <v>18</v>
      </c>
      <c r="J1147" t="str">
        <f>"4383791679"</f>
        <v>4383791679</v>
      </c>
      <c r="K1147" t="s">
        <v>4469</v>
      </c>
      <c r="L1147" t="s">
        <v>4470</v>
      </c>
      <c r="M1147" t="s">
        <v>21</v>
      </c>
    </row>
    <row r="1148" spans="1:13" x14ac:dyDescent="0.35">
      <c r="A1148" t="str">
        <f>"624-2142"</f>
        <v>624-2142</v>
      </c>
      <c r="B1148" t="s">
        <v>4471</v>
      </c>
      <c r="C1148" t="str">
        <f>"3469"</f>
        <v>3469</v>
      </c>
      <c r="D1148" t="str">
        <f>"266"</f>
        <v>266</v>
      </c>
      <c r="E1148" t="s">
        <v>455</v>
      </c>
      <c r="F1148" t="s">
        <v>24</v>
      </c>
      <c r="G1148" t="s">
        <v>1097</v>
      </c>
      <c r="H1148" t="s">
        <v>17</v>
      </c>
      <c r="I1148" t="s">
        <v>18</v>
      </c>
      <c r="J1148" t="str">
        <f>"4383659950"</f>
        <v>4383659950</v>
      </c>
      <c r="K1148" t="s">
        <v>4472</v>
      </c>
      <c r="L1148" t="s">
        <v>27</v>
      </c>
      <c r="M1148" t="s">
        <v>21</v>
      </c>
    </row>
    <row r="1149" spans="1:13" x14ac:dyDescent="0.35">
      <c r="A1149" t="str">
        <f>"624-2314"</f>
        <v>624-2314</v>
      </c>
      <c r="B1149" t="s">
        <v>4473</v>
      </c>
      <c r="C1149" t="str">
        <f>"505"</f>
        <v>505</v>
      </c>
      <c r="E1149" t="s">
        <v>1705</v>
      </c>
      <c r="F1149" t="s">
        <v>24</v>
      </c>
      <c r="G1149" t="s">
        <v>4474</v>
      </c>
      <c r="H1149" t="s">
        <v>17</v>
      </c>
      <c r="I1149" t="s">
        <v>18</v>
      </c>
      <c r="J1149" t="str">
        <f>"5149438890"</f>
        <v>5149438890</v>
      </c>
      <c r="K1149" t="s">
        <v>4475</v>
      </c>
      <c r="L1149" t="s">
        <v>313</v>
      </c>
      <c r="M1149" t="s">
        <v>21</v>
      </c>
    </row>
    <row r="1150" spans="1:13" x14ac:dyDescent="0.35">
      <c r="A1150" t="str">
        <f>"624-4102"</f>
        <v>624-4102</v>
      </c>
      <c r="B1150" t="s">
        <v>4476</v>
      </c>
      <c r="C1150" t="str">
        <f>"5683"</f>
        <v>5683</v>
      </c>
      <c r="D1150" t="str">
        <f>"2"</f>
        <v>2</v>
      </c>
      <c r="E1150" t="s">
        <v>694</v>
      </c>
      <c r="F1150" t="s">
        <v>24</v>
      </c>
      <c r="G1150" t="s">
        <v>3640</v>
      </c>
      <c r="H1150" t="s">
        <v>17</v>
      </c>
      <c r="I1150" t="s">
        <v>18</v>
      </c>
      <c r="J1150" t="str">
        <f>"4383519640"</f>
        <v>4383519640</v>
      </c>
      <c r="K1150" t="s">
        <v>4477</v>
      </c>
      <c r="L1150" t="s">
        <v>88</v>
      </c>
      <c r="M1150" t="s">
        <v>21</v>
      </c>
    </row>
    <row r="1151" spans="1:13" x14ac:dyDescent="0.35">
      <c r="A1151" t="str">
        <f>"624-4950"</f>
        <v>624-4950</v>
      </c>
      <c r="B1151" t="s">
        <v>4478</v>
      </c>
      <c r="C1151" t="str">
        <f>"6301"</f>
        <v>6301</v>
      </c>
      <c r="D1151" t="str">
        <f>"201"</f>
        <v>201</v>
      </c>
      <c r="E1151" t="s">
        <v>2249</v>
      </c>
      <c r="F1151" t="s">
        <v>24</v>
      </c>
      <c r="G1151" t="s">
        <v>2250</v>
      </c>
      <c r="H1151" t="s">
        <v>17</v>
      </c>
      <c r="I1151" t="s">
        <v>18</v>
      </c>
      <c r="J1151" t="str">
        <f>"4383400893"</f>
        <v>4383400893</v>
      </c>
      <c r="K1151" t="s">
        <v>4479</v>
      </c>
      <c r="L1151" t="s">
        <v>305</v>
      </c>
      <c r="M1151" t="s">
        <v>21</v>
      </c>
    </row>
    <row r="1152" spans="1:13" x14ac:dyDescent="0.35">
      <c r="A1152" t="str">
        <f>"624-5830"</f>
        <v>624-5830</v>
      </c>
      <c r="B1152" t="s">
        <v>4480</v>
      </c>
      <c r="C1152" t="str">
        <f>"7972"</f>
        <v>7972</v>
      </c>
      <c r="D1152" t="str">
        <f>"7972"</f>
        <v>7972</v>
      </c>
      <c r="E1152" t="s">
        <v>2326</v>
      </c>
      <c r="F1152" t="s">
        <v>24</v>
      </c>
      <c r="G1152" t="s">
        <v>4481</v>
      </c>
      <c r="H1152" t="s">
        <v>17</v>
      </c>
      <c r="I1152" t="s">
        <v>18</v>
      </c>
      <c r="J1152" t="str">
        <f>"4386221541"</f>
        <v>4386221541</v>
      </c>
      <c r="K1152" t="s">
        <v>4482</v>
      </c>
      <c r="L1152" t="s">
        <v>396</v>
      </c>
      <c r="M1152" t="s">
        <v>21</v>
      </c>
    </row>
    <row r="1153" spans="1:13" x14ac:dyDescent="0.35">
      <c r="A1153" t="str">
        <f>"136-9733"</f>
        <v>136-9733</v>
      </c>
      <c r="B1153" t="s">
        <v>4484</v>
      </c>
      <c r="C1153" t="str">
        <f>"3400"</f>
        <v>3400</v>
      </c>
      <c r="D1153" t="str">
        <f>"2"</f>
        <v>2</v>
      </c>
      <c r="E1153" t="s">
        <v>4485</v>
      </c>
      <c r="F1153" t="s">
        <v>24</v>
      </c>
      <c r="G1153" t="s">
        <v>4486</v>
      </c>
      <c r="H1153" t="s">
        <v>17</v>
      </c>
      <c r="I1153" t="s">
        <v>18</v>
      </c>
      <c r="J1153" t="str">
        <f>"5142963439"</f>
        <v>5142963439</v>
      </c>
      <c r="K1153" t="s">
        <v>4487</v>
      </c>
      <c r="L1153" t="s">
        <v>20</v>
      </c>
      <c r="M1153" t="s">
        <v>21</v>
      </c>
    </row>
    <row r="1154" spans="1:13" x14ac:dyDescent="0.35">
      <c r="A1154" t="str">
        <f>"137-3157"</f>
        <v>137-3157</v>
      </c>
      <c r="B1154" t="s">
        <v>4488</v>
      </c>
      <c r="C1154" t="str">
        <f>"5975"</f>
        <v>5975</v>
      </c>
      <c r="E1154" t="s">
        <v>2386</v>
      </c>
      <c r="F1154" t="s">
        <v>24</v>
      </c>
      <c r="G1154" t="s">
        <v>4489</v>
      </c>
      <c r="H1154" t="s">
        <v>17</v>
      </c>
      <c r="I1154" t="s">
        <v>18</v>
      </c>
      <c r="J1154" t="str">
        <f>"8197752188"</f>
        <v>8197752188</v>
      </c>
      <c r="K1154" t="s">
        <v>4490</v>
      </c>
      <c r="L1154" t="s">
        <v>20</v>
      </c>
      <c r="M1154" t="s">
        <v>21</v>
      </c>
    </row>
    <row r="1155" spans="1:13" x14ac:dyDescent="0.35">
      <c r="A1155" t="str">
        <f>"225-1833"</f>
        <v>225-1833</v>
      </c>
      <c r="B1155" t="s">
        <v>4493</v>
      </c>
      <c r="C1155" t="str">
        <f>"3512"</f>
        <v>3512</v>
      </c>
      <c r="E1155" t="s">
        <v>4494</v>
      </c>
      <c r="F1155" t="s">
        <v>4495</v>
      </c>
      <c r="G1155" t="s">
        <v>4496</v>
      </c>
      <c r="H1155" t="s">
        <v>17</v>
      </c>
      <c r="I1155" t="s">
        <v>18</v>
      </c>
      <c r="J1155" t="str">
        <f>"8195342150"</f>
        <v>8195342150</v>
      </c>
      <c r="K1155" t="s">
        <v>4497</v>
      </c>
      <c r="L1155" t="s">
        <v>39</v>
      </c>
      <c r="M1155" t="s">
        <v>21</v>
      </c>
    </row>
    <row r="1156" spans="1:13" x14ac:dyDescent="0.35">
      <c r="A1156" t="str">
        <f>"225-3290"</f>
        <v>225-3290</v>
      </c>
      <c r="B1156" t="s">
        <v>4498</v>
      </c>
      <c r="C1156" t="str">
        <f>"1580"</f>
        <v>1580</v>
      </c>
      <c r="D1156" t="str">
        <f>"12"</f>
        <v>12</v>
      </c>
      <c r="E1156" t="s">
        <v>4499</v>
      </c>
      <c r="F1156" t="s">
        <v>4091</v>
      </c>
      <c r="G1156" t="s">
        <v>4500</v>
      </c>
      <c r="H1156" t="s">
        <v>17</v>
      </c>
      <c r="I1156" t="s">
        <v>18</v>
      </c>
      <c r="J1156" t="str">
        <f>"4388776773"</f>
        <v>4388776773</v>
      </c>
      <c r="K1156" t="s">
        <v>4501</v>
      </c>
      <c r="L1156" t="s">
        <v>350</v>
      </c>
      <c r="M1156" t="s">
        <v>21</v>
      </c>
    </row>
    <row r="1157" spans="1:13" x14ac:dyDescent="0.35">
      <c r="A1157" t="str">
        <f>"225-4008"</f>
        <v>225-4008</v>
      </c>
      <c r="B1157" t="s">
        <v>4502</v>
      </c>
      <c r="C1157" t="str">
        <f>"145"</f>
        <v>145</v>
      </c>
      <c r="E1157" t="s">
        <v>4503</v>
      </c>
      <c r="F1157" t="s">
        <v>3983</v>
      </c>
      <c r="G1157" t="s">
        <v>4504</v>
      </c>
      <c r="H1157" t="s">
        <v>17</v>
      </c>
      <c r="I1157" t="s">
        <v>18</v>
      </c>
      <c r="J1157" t="str">
        <f>"5147765783"</f>
        <v>5147765783</v>
      </c>
      <c r="K1157" t="s">
        <v>4505</v>
      </c>
      <c r="L1157" t="s">
        <v>39</v>
      </c>
      <c r="M1157" t="s">
        <v>21</v>
      </c>
    </row>
    <row r="1158" spans="1:13" x14ac:dyDescent="0.35">
      <c r="A1158" t="str">
        <f>"236-7187"</f>
        <v>236-7187</v>
      </c>
      <c r="B1158" t="s">
        <v>4506</v>
      </c>
      <c r="C1158" t="str">
        <f>"1450"</f>
        <v>1450</v>
      </c>
      <c r="E1158" t="s">
        <v>4507</v>
      </c>
      <c r="F1158" t="s">
        <v>143</v>
      </c>
      <c r="G1158" t="s">
        <v>4508</v>
      </c>
      <c r="H1158" t="s">
        <v>17</v>
      </c>
      <c r="I1158" t="s">
        <v>18</v>
      </c>
      <c r="J1158" t="str">
        <f>"4383646760"</f>
        <v>4383646760</v>
      </c>
      <c r="K1158" t="s">
        <v>4509</v>
      </c>
      <c r="L1158" t="s">
        <v>313</v>
      </c>
      <c r="M1158" t="s">
        <v>21</v>
      </c>
    </row>
    <row r="1159" spans="1:13" x14ac:dyDescent="0.35">
      <c r="A1159" t="str">
        <f>"239-0751"</f>
        <v>239-0751</v>
      </c>
      <c r="B1159" t="s">
        <v>4510</v>
      </c>
      <c r="C1159" t="str">
        <f>"5550"</f>
        <v>5550</v>
      </c>
      <c r="D1159" t="str">
        <f>"35"</f>
        <v>35</v>
      </c>
      <c r="E1159" t="s">
        <v>4511</v>
      </c>
      <c r="F1159" t="s">
        <v>24</v>
      </c>
      <c r="G1159" t="s">
        <v>4512</v>
      </c>
      <c r="H1159" t="s">
        <v>17</v>
      </c>
      <c r="I1159" t="s">
        <v>18</v>
      </c>
      <c r="J1159" t="str">
        <f>"5819962575"</f>
        <v>5819962575</v>
      </c>
      <c r="K1159" t="s">
        <v>4513</v>
      </c>
      <c r="L1159" t="s">
        <v>350</v>
      </c>
      <c r="M1159" t="s">
        <v>21</v>
      </c>
    </row>
    <row r="1160" spans="1:13" x14ac:dyDescent="0.35">
      <c r="A1160" t="str">
        <f>"239-1032"</f>
        <v>239-1032</v>
      </c>
      <c r="B1160" t="s">
        <v>4514</v>
      </c>
      <c r="C1160" t="str">
        <f>"8041"</f>
        <v>8041</v>
      </c>
      <c r="D1160" t="str">
        <f>"8041"</f>
        <v>8041</v>
      </c>
      <c r="E1160" t="s">
        <v>4515</v>
      </c>
      <c r="F1160" t="s">
        <v>54</v>
      </c>
      <c r="G1160" t="s">
        <v>4516</v>
      </c>
      <c r="H1160" t="s">
        <v>17</v>
      </c>
      <c r="I1160" t="s">
        <v>18</v>
      </c>
      <c r="J1160" t="str">
        <f>"4388824872"</f>
        <v>4388824872</v>
      </c>
      <c r="K1160" t="s">
        <v>4517</v>
      </c>
      <c r="L1160" t="s">
        <v>86</v>
      </c>
      <c r="M1160" t="s">
        <v>21</v>
      </c>
    </row>
    <row r="1161" spans="1:13" x14ac:dyDescent="0.35">
      <c r="A1161" t="str">
        <f>"239-1103"</f>
        <v>239-1103</v>
      </c>
      <c r="B1161" t="s">
        <v>4518</v>
      </c>
      <c r="C1161" t="str">
        <f>"560"</f>
        <v>560</v>
      </c>
      <c r="E1161" t="s">
        <v>4519</v>
      </c>
      <c r="F1161" t="s">
        <v>2536</v>
      </c>
      <c r="G1161" t="s">
        <v>4520</v>
      </c>
      <c r="H1161" t="s">
        <v>17</v>
      </c>
      <c r="I1161" t="s">
        <v>18</v>
      </c>
      <c r="J1161" t="str">
        <f>"5149744158"</f>
        <v>5149744158</v>
      </c>
      <c r="K1161" t="s">
        <v>4521</v>
      </c>
      <c r="L1161" t="s">
        <v>86</v>
      </c>
      <c r="M1161" t="s">
        <v>21</v>
      </c>
    </row>
    <row r="1162" spans="1:13" x14ac:dyDescent="0.35">
      <c r="A1162" t="str">
        <f>"239-1142"</f>
        <v>239-1142</v>
      </c>
      <c r="B1162" t="s">
        <v>4522</v>
      </c>
      <c r="C1162" t="str">
        <f>"4414"</f>
        <v>4414</v>
      </c>
      <c r="E1162" t="s">
        <v>623</v>
      </c>
      <c r="F1162" t="s">
        <v>4523</v>
      </c>
      <c r="G1162" t="s">
        <v>4524</v>
      </c>
      <c r="H1162" t="s">
        <v>17</v>
      </c>
      <c r="I1162" t="s">
        <v>18</v>
      </c>
      <c r="J1162" t="str">
        <f>"4189995861"</f>
        <v>4189995861</v>
      </c>
      <c r="K1162" t="s">
        <v>4525</v>
      </c>
      <c r="L1162" t="s">
        <v>20</v>
      </c>
      <c r="M1162" t="s">
        <v>21</v>
      </c>
    </row>
    <row r="1163" spans="1:13" x14ac:dyDescent="0.35">
      <c r="A1163" t="str">
        <f>"239-1164"</f>
        <v>239-1164</v>
      </c>
      <c r="B1163" t="s">
        <v>4526</v>
      </c>
      <c r="C1163" t="str">
        <f>"6167"</f>
        <v>6167</v>
      </c>
      <c r="E1163" t="s">
        <v>4527</v>
      </c>
      <c r="F1163" t="s">
        <v>24</v>
      </c>
      <c r="G1163" t="s">
        <v>4528</v>
      </c>
      <c r="H1163" t="s">
        <v>17</v>
      </c>
      <c r="I1163" t="s">
        <v>18</v>
      </c>
      <c r="J1163" t="str">
        <f>"4389243702"</f>
        <v>4389243702</v>
      </c>
      <c r="K1163" t="s">
        <v>4529</v>
      </c>
      <c r="L1163" t="s">
        <v>86</v>
      </c>
      <c r="M1163" t="s">
        <v>21</v>
      </c>
    </row>
    <row r="1164" spans="1:13" x14ac:dyDescent="0.35">
      <c r="A1164" t="str">
        <f>"206-4843"</f>
        <v>206-4843</v>
      </c>
      <c r="B1164" t="s">
        <v>4530</v>
      </c>
      <c r="C1164" t="str">
        <f>"3553"</f>
        <v>3553</v>
      </c>
      <c r="E1164" t="s">
        <v>4531</v>
      </c>
      <c r="F1164" t="s">
        <v>24</v>
      </c>
      <c r="G1164" t="s">
        <v>4532</v>
      </c>
      <c r="H1164" t="s">
        <v>17</v>
      </c>
      <c r="I1164" t="s">
        <v>18</v>
      </c>
      <c r="J1164" t="str">
        <f>"5147011796"</f>
        <v>5147011796</v>
      </c>
      <c r="K1164" t="s">
        <v>4533</v>
      </c>
      <c r="L1164" t="s">
        <v>313</v>
      </c>
      <c r="M1164" t="s">
        <v>21</v>
      </c>
    </row>
    <row r="1165" spans="1:13" x14ac:dyDescent="0.35">
      <c r="A1165" t="str">
        <f>"625-1614"</f>
        <v>625-1614</v>
      </c>
      <c r="B1165" t="s">
        <v>4534</v>
      </c>
      <c r="C1165" t="str">
        <f>"6215"</f>
        <v>6215</v>
      </c>
      <c r="E1165" t="s">
        <v>4535</v>
      </c>
      <c r="F1165" t="s">
        <v>24</v>
      </c>
      <c r="G1165" t="s">
        <v>4536</v>
      </c>
      <c r="H1165" t="s">
        <v>17</v>
      </c>
      <c r="I1165" t="s">
        <v>18</v>
      </c>
      <c r="J1165" t="str">
        <f>"4385425417"</f>
        <v>4385425417</v>
      </c>
      <c r="K1165" t="s">
        <v>4537</v>
      </c>
      <c r="L1165" t="s">
        <v>86</v>
      </c>
      <c r="M1165" t="s">
        <v>21</v>
      </c>
    </row>
    <row r="1166" spans="1:13" x14ac:dyDescent="0.35">
      <c r="A1166" t="str">
        <f>"625-4007"</f>
        <v>625-4007</v>
      </c>
      <c r="B1166" t="s">
        <v>4538</v>
      </c>
      <c r="C1166" t="str">
        <f>"9147"</f>
        <v>9147</v>
      </c>
      <c r="E1166" t="s">
        <v>4539</v>
      </c>
      <c r="F1166" t="s">
        <v>24</v>
      </c>
      <c r="G1166" t="s">
        <v>4540</v>
      </c>
      <c r="H1166" t="s">
        <v>17</v>
      </c>
      <c r="I1166" t="s">
        <v>18</v>
      </c>
      <c r="J1166" t="str">
        <f>"4384580705"</f>
        <v>4384580705</v>
      </c>
      <c r="K1166" t="s">
        <v>4541</v>
      </c>
      <c r="L1166" t="s">
        <v>86</v>
      </c>
      <c r="M1166" t="s">
        <v>21</v>
      </c>
    </row>
    <row r="1167" spans="1:13" x14ac:dyDescent="0.35">
      <c r="A1167" t="str">
        <f>"625-8883"</f>
        <v>625-8883</v>
      </c>
      <c r="B1167" t="s">
        <v>4542</v>
      </c>
      <c r="C1167" t="str">
        <f>"5167"</f>
        <v>5167</v>
      </c>
      <c r="E1167" t="s">
        <v>4543</v>
      </c>
      <c r="F1167" t="s">
        <v>24</v>
      </c>
      <c r="G1167" t="s">
        <v>4544</v>
      </c>
      <c r="H1167" t="s">
        <v>17</v>
      </c>
      <c r="I1167" t="s">
        <v>18</v>
      </c>
      <c r="J1167" t="str">
        <f>"4382265821"</f>
        <v>4382265821</v>
      </c>
      <c r="K1167" t="s">
        <v>4545</v>
      </c>
      <c r="L1167" t="s">
        <v>86</v>
      </c>
      <c r="M1167" t="s">
        <v>21</v>
      </c>
    </row>
    <row r="1168" spans="1:13" x14ac:dyDescent="0.35">
      <c r="A1168" t="str">
        <f>"626-1216"</f>
        <v>626-1216</v>
      </c>
      <c r="B1168" t="s">
        <v>4546</v>
      </c>
      <c r="C1168" t="str">
        <f>"7770"</f>
        <v>7770</v>
      </c>
      <c r="E1168" t="s">
        <v>4547</v>
      </c>
      <c r="F1168" t="s">
        <v>24</v>
      </c>
      <c r="G1168" t="s">
        <v>4548</v>
      </c>
      <c r="H1168" t="s">
        <v>17</v>
      </c>
      <c r="I1168" t="s">
        <v>18</v>
      </c>
      <c r="J1168" t="str">
        <f>"4385078118"</f>
        <v>4385078118</v>
      </c>
      <c r="K1168" t="s">
        <v>4549</v>
      </c>
      <c r="L1168" t="s">
        <v>396</v>
      </c>
      <c r="M1168" t="s">
        <v>21</v>
      </c>
    </row>
    <row r="1169" spans="1:13" x14ac:dyDescent="0.35">
      <c r="A1169" t="str">
        <f>"953-7459"</f>
        <v>953-7459</v>
      </c>
      <c r="B1169" t="s">
        <v>4550</v>
      </c>
      <c r="C1169" t="str">
        <f>"1270"</f>
        <v>1270</v>
      </c>
      <c r="E1169" t="s">
        <v>2571</v>
      </c>
      <c r="F1169" t="s">
        <v>157</v>
      </c>
      <c r="G1169" t="s">
        <v>4551</v>
      </c>
      <c r="H1169" t="s">
        <v>17</v>
      </c>
      <c r="I1169" t="s">
        <v>18</v>
      </c>
      <c r="J1169" t="str">
        <f>"5149967548"</f>
        <v>5149967548</v>
      </c>
      <c r="K1169" t="s">
        <v>4552</v>
      </c>
      <c r="L1169" t="s">
        <v>39</v>
      </c>
      <c r="M1169" t="s">
        <v>21</v>
      </c>
    </row>
    <row r="1170" spans="1:13" x14ac:dyDescent="0.35">
      <c r="A1170" t="str">
        <f>"622-4668"</f>
        <v>622-4668</v>
      </c>
      <c r="B1170" t="s">
        <v>4553</v>
      </c>
      <c r="C1170" t="str">
        <f>"7522"</f>
        <v>7522</v>
      </c>
      <c r="E1170" t="s">
        <v>4554</v>
      </c>
      <c r="F1170" t="s">
        <v>1332</v>
      </c>
      <c r="G1170" t="s">
        <v>4555</v>
      </c>
      <c r="H1170" t="s">
        <v>17</v>
      </c>
      <c r="I1170" t="s">
        <v>18</v>
      </c>
      <c r="J1170" t="str">
        <f>"5149152421"</f>
        <v>5149152421</v>
      </c>
      <c r="K1170" t="s">
        <v>4556</v>
      </c>
      <c r="L1170" t="s">
        <v>396</v>
      </c>
      <c r="M1170" t="s">
        <v>21</v>
      </c>
    </row>
    <row r="1171" spans="1:13" x14ac:dyDescent="0.35">
      <c r="A1171" t="str">
        <f>"622-4685"</f>
        <v>622-4685</v>
      </c>
      <c r="B1171" t="s">
        <v>4557</v>
      </c>
      <c r="C1171" t="str">
        <f>"9232"</f>
        <v>9232</v>
      </c>
      <c r="E1171" t="s">
        <v>4558</v>
      </c>
      <c r="F1171" t="s">
        <v>24</v>
      </c>
      <c r="G1171" t="s">
        <v>4559</v>
      </c>
      <c r="H1171" t="s">
        <v>17</v>
      </c>
      <c r="I1171" t="s">
        <v>18</v>
      </c>
      <c r="J1171" t="str">
        <f>"4389342374"</f>
        <v>4389342374</v>
      </c>
      <c r="K1171" t="s">
        <v>4560</v>
      </c>
      <c r="L1171" t="s">
        <v>396</v>
      </c>
      <c r="M1171" t="s">
        <v>21</v>
      </c>
    </row>
    <row r="1172" spans="1:13" x14ac:dyDescent="0.35">
      <c r="A1172" t="str">
        <f>"622-4893"</f>
        <v>622-4893</v>
      </c>
      <c r="B1172" t="s">
        <v>4561</v>
      </c>
      <c r="C1172" t="str">
        <f>"4470"</f>
        <v>4470</v>
      </c>
      <c r="E1172" t="s">
        <v>105</v>
      </c>
      <c r="F1172" t="s">
        <v>24</v>
      </c>
      <c r="G1172" t="s">
        <v>4562</v>
      </c>
      <c r="H1172" t="s">
        <v>17</v>
      </c>
      <c r="I1172" t="s">
        <v>18</v>
      </c>
      <c r="J1172" t="str">
        <f>"5144346257"</f>
        <v>5144346257</v>
      </c>
      <c r="K1172" t="s">
        <v>4563</v>
      </c>
      <c r="L1172" t="s">
        <v>86</v>
      </c>
      <c r="M1172" t="s">
        <v>21</v>
      </c>
    </row>
    <row r="1173" spans="1:13" x14ac:dyDescent="0.35">
      <c r="A1173" t="str">
        <f>"622-7963"</f>
        <v>622-7963</v>
      </c>
      <c r="B1173" t="s">
        <v>4564</v>
      </c>
      <c r="C1173" t="str">
        <f>"5852"</f>
        <v>5852</v>
      </c>
      <c r="E1173" t="s">
        <v>4565</v>
      </c>
      <c r="F1173" t="s">
        <v>24</v>
      </c>
      <c r="G1173" t="s">
        <v>4566</v>
      </c>
      <c r="H1173" t="s">
        <v>17</v>
      </c>
      <c r="I1173" t="s">
        <v>18</v>
      </c>
      <c r="J1173" t="str">
        <f>"5142528765"</f>
        <v>5142528765</v>
      </c>
      <c r="K1173" t="s">
        <v>4567</v>
      </c>
      <c r="L1173" t="s">
        <v>396</v>
      </c>
      <c r="M1173" t="s">
        <v>21</v>
      </c>
    </row>
    <row r="1174" spans="1:13" x14ac:dyDescent="0.35">
      <c r="A1174" t="str">
        <f>"622-8046"</f>
        <v>622-8046</v>
      </c>
      <c r="B1174" t="s">
        <v>4568</v>
      </c>
      <c r="C1174" t="str">
        <f>"10597"</f>
        <v>10597</v>
      </c>
      <c r="E1174" t="s">
        <v>4569</v>
      </c>
      <c r="F1174" t="s">
        <v>40</v>
      </c>
      <c r="G1174" t="s">
        <v>928</v>
      </c>
      <c r="H1174" t="s">
        <v>17</v>
      </c>
      <c r="I1174" t="s">
        <v>18</v>
      </c>
      <c r="J1174" t="str">
        <f>"5142904610"</f>
        <v>5142904610</v>
      </c>
      <c r="K1174" t="s">
        <v>4570</v>
      </c>
      <c r="L1174" t="s">
        <v>198</v>
      </c>
      <c r="M1174" t="s">
        <v>21</v>
      </c>
    </row>
    <row r="1175" spans="1:13" x14ac:dyDescent="0.35">
      <c r="A1175" t="str">
        <f>"622-8143"</f>
        <v>622-8143</v>
      </c>
      <c r="B1175" t="s">
        <v>4571</v>
      </c>
      <c r="C1175" t="str">
        <f>"3469"</f>
        <v>3469</v>
      </c>
      <c r="D1175" t="str">
        <f>"201"</f>
        <v>201</v>
      </c>
      <c r="E1175" t="s">
        <v>2245</v>
      </c>
      <c r="F1175" t="s">
        <v>40</v>
      </c>
      <c r="G1175" t="s">
        <v>1097</v>
      </c>
      <c r="H1175" t="s">
        <v>17</v>
      </c>
      <c r="I1175" t="s">
        <v>18</v>
      </c>
      <c r="J1175" t="str">
        <f>"7785397616"</f>
        <v>7785397616</v>
      </c>
      <c r="K1175" t="s">
        <v>4572</v>
      </c>
      <c r="L1175" t="s">
        <v>869</v>
      </c>
      <c r="M1175" t="s">
        <v>21</v>
      </c>
    </row>
    <row r="1176" spans="1:13" x14ac:dyDescent="0.35">
      <c r="A1176" t="str">
        <f>"622-8245"</f>
        <v>622-8245</v>
      </c>
      <c r="B1176" t="s">
        <v>4573</v>
      </c>
      <c r="C1176" t="str">
        <f>"2622"</f>
        <v>2622</v>
      </c>
      <c r="E1176" t="s">
        <v>1966</v>
      </c>
      <c r="F1176" t="s">
        <v>24</v>
      </c>
      <c r="G1176" t="s">
        <v>4574</v>
      </c>
      <c r="H1176" t="s">
        <v>17</v>
      </c>
      <c r="I1176" t="s">
        <v>18</v>
      </c>
      <c r="J1176" t="str">
        <f>"4384918114"</f>
        <v>4384918114</v>
      </c>
      <c r="K1176" t="s">
        <v>4575</v>
      </c>
      <c r="L1176" t="s">
        <v>27</v>
      </c>
      <c r="M1176" t="s">
        <v>21</v>
      </c>
    </row>
    <row r="1177" spans="1:13" x14ac:dyDescent="0.35">
      <c r="A1177" t="str">
        <f>"624-0824"</f>
        <v>624-0824</v>
      </c>
      <c r="B1177" t="s">
        <v>4576</v>
      </c>
      <c r="C1177" t="str">
        <f>"2067"</f>
        <v>2067</v>
      </c>
      <c r="E1177" t="s">
        <v>4577</v>
      </c>
      <c r="F1177" t="s">
        <v>24</v>
      </c>
      <c r="G1177" t="s">
        <v>4578</v>
      </c>
      <c r="H1177" t="s">
        <v>17</v>
      </c>
      <c r="I1177" t="s">
        <v>18</v>
      </c>
      <c r="J1177" t="str">
        <f>"4383791239"</f>
        <v>4383791239</v>
      </c>
      <c r="K1177" t="s">
        <v>4579</v>
      </c>
      <c r="L1177" t="s">
        <v>193</v>
      </c>
      <c r="M1177" t="s">
        <v>21</v>
      </c>
    </row>
    <row r="1178" spans="1:13" x14ac:dyDescent="0.35">
      <c r="A1178" t="str">
        <f>"624-1212"</f>
        <v>624-1212</v>
      </c>
      <c r="B1178" t="s">
        <v>4580</v>
      </c>
      <c r="C1178" t="str">
        <f>"6755"</f>
        <v>6755</v>
      </c>
      <c r="D1178" t="str">
        <f>"2"</f>
        <v>2</v>
      </c>
      <c r="E1178" t="s">
        <v>4581</v>
      </c>
      <c r="F1178" t="s">
        <v>24</v>
      </c>
      <c r="G1178" t="s">
        <v>4582</v>
      </c>
      <c r="H1178" t="s">
        <v>17</v>
      </c>
      <c r="I1178" t="s">
        <v>18</v>
      </c>
      <c r="J1178" t="str">
        <f>"5144657413"</f>
        <v>5144657413</v>
      </c>
      <c r="K1178" t="s">
        <v>4583</v>
      </c>
      <c r="L1178" t="s">
        <v>76</v>
      </c>
      <c r="M1178" t="s">
        <v>21</v>
      </c>
    </row>
    <row r="1179" spans="1:13" x14ac:dyDescent="0.35">
      <c r="A1179" t="str">
        <f>"625-5261"</f>
        <v>625-5261</v>
      </c>
      <c r="B1179" t="s">
        <v>4584</v>
      </c>
      <c r="C1179" t="str">
        <f>"6292"</f>
        <v>6292</v>
      </c>
      <c r="D1179" t="str">
        <f>"208"</f>
        <v>208</v>
      </c>
      <c r="E1179" t="s">
        <v>2238</v>
      </c>
      <c r="F1179" t="s">
        <v>24</v>
      </c>
      <c r="G1179" t="s">
        <v>803</v>
      </c>
      <c r="H1179" t="s">
        <v>17</v>
      </c>
      <c r="I1179" t="s">
        <v>18</v>
      </c>
      <c r="J1179" t="str">
        <f>"4389515002"</f>
        <v>4389515002</v>
      </c>
      <c r="K1179" t="s">
        <v>4585</v>
      </c>
      <c r="L1179" t="s">
        <v>396</v>
      </c>
      <c r="M1179" t="s">
        <v>21</v>
      </c>
    </row>
    <row r="1180" spans="1:13" x14ac:dyDescent="0.35">
      <c r="A1180" t="str">
        <f>"625-5996"</f>
        <v>625-5996</v>
      </c>
      <c r="B1180" t="s">
        <v>4586</v>
      </c>
      <c r="C1180" t="str">
        <f>"1700"</f>
        <v>1700</v>
      </c>
      <c r="E1180" t="s">
        <v>4587</v>
      </c>
      <c r="F1180" t="s">
        <v>143</v>
      </c>
      <c r="G1180" t="s">
        <v>4588</v>
      </c>
      <c r="H1180" t="s">
        <v>17</v>
      </c>
      <c r="I1180" t="s">
        <v>18</v>
      </c>
      <c r="J1180" t="str">
        <f>"5146324595"</f>
        <v>5146324595</v>
      </c>
      <c r="K1180" t="s">
        <v>4589</v>
      </c>
      <c r="L1180" t="s">
        <v>350</v>
      </c>
      <c r="M1180" t="s">
        <v>21</v>
      </c>
    </row>
    <row r="1181" spans="1:13" x14ac:dyDescent="0.35">
      <c r="A1181" t="str">
        <f>"182-4961"</f>
        <v>182-4961</v>
      </c>
      <c r="B1181" t="s">
        <v>4590</v>
      </c>
      <c r="C1181" t="str">
        <f>"2052"</f>
        <v>2052</v>
      </c>
      <c r="E1181" t="s">
        <v>4591</v>
      </c>
      <c r="F1181" t="s">
        <v>157</v>
      </c>
      <c r="G1181" t="s">
        <v>4592</v>
      </c>
      <c r="H1181" t="s">
        <v>17</v>
      </c>
      <c r="I1181" t="s">
        <v>18</v>
      </c>
      <c r="J1181" t="str">
        <f>"5148068171"</f>
        <v>5148068171</v>
      </c>
      <c r="K1181" t="s">
        <v>4593</v>
      </c>
      <c r="L1181" t="s">
        <v>29</v>
      </c>
      <c r="M1181" t="s">
        <v>21</v>
      </c>
    </row>
    <row r="1182" spans="1:13" x14ac:dyDescent="0.35">
      <c r="A1182" t="str">
        <f>"202-9706"</f>
        <v>202-9706</v>
      </c>
      <c r="B1182" t="s">
        <v>4594</v>
      </c>
      <c r="C1182" t="str">
        <f>"844"</f>
        <v>844</v>
      </c>
      <c r="E1182" t="s">
        <v>4595</v>
      </c>
      <c r="F1182" t="s">
        <v>157</v>
      </c>
      <c r="G1182" t="s">
        <v>4596</v>
      </c>
      <c r="H1182" t="s">
        <v>17</v>
      </c>
      <c r="I1182" t="s">
        <v>18</v>
      </c>
      <c r="J1182" t="str">
        <f>"4385249497"</f>
        <v>4385249497</v>
      </c>
      <c r="K1182" t="s">
        <v>4597</v>
      </c>
      <c r="L1182" t="s">
        <v>383</v>
      </c>
      <c r="M1182" t="s">
        <v>21</v>
      </c>
    </row>
    <row r="1183" spans="1:13" x14ac:dyDescent="0.35">
      <c r="A1183" t="str">
        <f>"215-8102"</f>
        <v>215-8102</v>
      </c>
      <c r="B1183" t="s">
        <v>4598</v>
      </c>
      <c r="C1183" t="str">
        <f>"8340"</f>
        <v>8340</v>
      </c>
      <c r="E1183" t="s">
        <v>4429</v>
      </c>
      <c r="F1183" t="s">
        <v>24</v>
      </c>
      <c r="G1183" t="s">
        <v>4599</v>
      </c>
      <c r="H1183" t="s">
        <v>17</v>
      </c>
      <c r="I1183" t="s">
        <v>18</v>
      </c>
      <c r="J1183" t="str">
        <f>"4388204063"</f>
        <v>4388204063</v>
      </c>
      <c r="K1183" t="s">
        <v>4600</v>
      </c>
      <c r="L1183" t="s">
        <v>350</v>
      </c>
      <c r="M1183" t="s">
        <v>21</v>
      </c>
    </row>
    <row r="1184" spans="1:13" x14ac:dyDescent="0.35">
      <c r="A1184" t="str">
        <f>"215-9195"</f>
        <v>215-9195</v>
      </c>
      <c r="B1184" t="s">
        <v>4601</v>
      </c>
      <c r="C1184" t="str">
        <f>"449"</f>
        <v>449</v>
      </c>
      <c r="E1184" t="s">
        <v>4602</v>
      </c>
      <c r="F1184" t="s">
        <v>1175</v>
      </c>
      <c r="G1184" t="s">
        <v>4603</v>
      </c>
      <c r="H1184" t="s">
        <v>17</v>
      </c>
      <c r="I1184" t="s">
        <v>18</v>
      </c>
      <c r="J1184" t="str">
        <f>"4383519961"</f>
        <v>4383519961</v>
      </c>
      <c r="K1184" t="s">
        <v>4604</v>
      </c>
      <c r="L1184" t="s">
        <v>313</v>
      </c>
      <c r="M1184" t="s">
        <v>21</v>
      </c>
    </row>
    <row r="1185" spans="1:13" x14ac:dyDescent="0.35">
      <c r="A1185" t="str">
        <f>"216-3214"</f>
        <v>216-3214</v>
      </c>
      <c r="B1185" t="s">
        <v>4605</v>
      </c>
      <c r="C1185" t="str">
        <f>"1425"</f>
        <v>1425</v>
      </c>
      <c r="E1185" t="s">
        <v>4606</v>
      </c>
      <c r="F1185" t="s">
        <v>1197</v>
      </c>
      <c r="G1185" t="s">
        <v>4607</v>
      </c>
      <c r="H1185" t="s">
        <v>17</v>
      </c>
      <c r="I1185" t="s">
        <v>18</v>
      </c>
      <c r="J1185" t="str">
        <f>"5795162150"</f>
        <v>5795162150</v>
      </c>
      <c r="K1185" t="s">
        <v>4608</v>
      </c>
      <c r="L1185" t="s">
        <v>313</v>
      </c>
      <c r="M1185" t="s">
        <v>21</v>
      </c>
    </row>
    <row r="1186" spans="1:13" x14ac:dyDescent="0.35">
      <c r="A1186" t="str">
        <f>"216-6305"</f>
        <v>216-6305</v>
      </c>
      <c r="B1186" t="s">
        <v>4609</v>
      </c>
      <c r="C1186" t="str">
        <f>"6260"</f>
        <v>6260</v>
      </c>
      <c r="D1186" t="str">
        <f>"1"</f>
        <v>1</v>
      </c>
      <c r="E1186" t="s">
        <v>1072</v>
      </c>
      <c r="F1186" t="s">
        <v>24</v>
      </c>
      <c r="G1186" t="s">
        <v>1073</v>
      </c>
      <c r="H1186" t="s">
        <v>17</v>
      </c>
      <c r="I1186" t="s">
        <v>18</v>
      </c>
      <c r="J1186" t="str">
        <f>"4388880429"</f>
        <v>4388880429</v>
      </c>
      <c r="K1186" t="s">
        <v>4610</v>
      </c>
      <c r="L1186" t="s">
        <v>86</v>
      </c>
      <c r="M1186" t="s">
        <v>21</v>
      </c>
    </row>
    <row r="1187" spans="1:13" x14ac:dyDescent="0.35">
      <c r="A1187" t="str">
        <f>"226-4518"</f>
        <v>226-4518</v>
      </c>
      <c r="B1187" t="s">
        <v>4611</v>
      </c>
      <c r="C1187" t="str">
        <f>"6010"</f>
        <v>6010</v>
      </c>
      <c r="E1187" t="s">
        <v>4612</v>
      </c>
      <c r="F1187" t="s">
        <v>24</v>
      </c>
      <c r="G1187" t="s">
        <v>4613</v>
      </c>
      <c r="H1187" t="s">
        <v>17</v>
      </c>
      <c r="I1187" t="s">
        <v>18</v>
      </c>
      <c r="J1187" t="str">
        <f>"4388895965"</f>
        <v>4388895965</v>
      </c>
      <c r="K1187" t="s">
        <v>4614</v>
      </c>
      <c r="L1187" t="s">
        <v>466</v>
      </c>
      <c r="M1187" t="s">
        <v>21</v>
      </c>
    </row>
    <row r="1188" spans="1:13" x14ac:dyDescent="0.35">
      <c r="A1188" t="str">
        <f>"226-4796"</f>
        <v>226-4796</v>
      </c>
      <c r="B1188" t="s">
        <v>4615</v>
      </c>
      <c r="C1188" t="str">
        <f>"2500"</f>
        <v>2500</v>
      </c>
      <c r="E1188" t="s">
        <v>4616</v>
      </c>
      <c r="F1188" t="s">
        <v>24</v>
      </c>
      <c r="G1188" t="s">
        <v>4617</v>
      </c>
      <c r="H1188" t="s">
        <v>17</v>
      </c>
      <c r="I1188" t="s">
        <v>18</v>
      </c>
      <c r="J1188" t="str">
        <f>"5144512140"</f>
        <v>5144512140</v>
      </c>
      <c r="K1188" t="s">
        <v>4618</v>
      </c>
      <c r="L1188" t="s">
        <v>27</v>
      </c>
      <c r="M1188" t="s">
        <v>21</v>
      </c>
    </row>
    <row r="1189" spans="1:13" x14ac:dyDescent="0.35">
      <c r="A1189" t="str">
        <f>"236-1611"</f>
        <v>236-1611</v>
      </c>
      <c r="B1189" t="s">
        <v>4619</v>
      </c>
      <c r="C1189" t="str">
        <f>"6370"</f>
        <v>6370</v>
      </c>
      <c r="D1189" t="str">
        <f>"4"</f>
        <v>4</v>
      </c>
      <c r="E1189" t="s">
        <v>4620</v>
      </c>
      <c r="F1189" t="s">
        <v>24</v>
      </c>
      <c r="G1189" t="s">
        <v>4621</v>
      </c>
      <c r="H1189" t="s">
        <v>17</v>
      </c>
      <c r="I1189" t="s">
        <v>18</v>
      </c>
      <c r="J1189" t="str">
        <f>"5819224031"</f>
        <v>5819224031</v>
      </c>
      <c r="K1189" t="s">
        <v>4622</v>
      </c>
      <c r="L1189" t="s">
        <v>20</v>
      </c>
      <c r="M1189" t="s">
        <v>21</v>
      </c>
    </row>
    <row r="1190" spans="1:13" x14ac:dyDescent="0.35">
      <c r="A1190" t="str">
        <f>"236-1723"</f>
        <v>236-1723</v>
      </c>
      <c r="B1190" t="s">
        <v>4623</v>
      </c>
      <c r="C1190" t="str">
        <f>"9433"</f>
        <v>9433</v>
      </c>
      <c r="D1190" t="str">
        <f>"415"</f>
        <v>415</v>
      </c>
      <c r="E1190" t="s">
        <v>200</v>
      </c>
      <c r="F1190" t="s">
        <v>24</v>
      </c>
      <c r="G1190" t="s">
        <v>4624</v>
      </c>
      <c r="H1190" t="s">
        <v>17</v>
      </c>
      <c r="I1190" t="s">
        <v>18</v>
      </c>
      <c r="J1190" t="str">
        <f>"5147426386"</f>
        <v>5147426386</v>
      </c>
      <c r="K1190" t="s">
        <v>4625</v>
      </c>
      <c r="L1190" t="s">
        <v>874</v>
      </c>
      <c r="M1190" t="s">
        <v>21</v>
      </c>
    </row>
    <row r="1191" spans="1:13" x14ac:dyDescent="0.35">
      <c r="A1191" t="str">
        <f>"236-1976"</f>
        <v>236-1976</v>
      </c>
      <c r="B1191" t="s">
        <v>4626</v>
      </c>
      <c r="C1191" t="str">
        <f>"10524"</f>
        <v>10524</v>
      </c>
      <c r="E1191" t="s">
        <v>691</v>
      </c>
      <c r="F1191" t="s">
        <v>24</v>
      </c>
      <c r="G1191" t="s">
        <v>1576</v>
      </c>
      <c r="H1191" t="s">
        <v>17</v>
      </c>
      <c r="I1191" t="s">
        <v>18</v>
      </c>
      <c r="J1191" t="str">
        <f>"5143489460"</f>
        <v>5143489460</v>
      </c>
      <c r="K1191" t="s">
        <v>4627</v>
      </c>
      <c r="L1191" t="s">
        <v>534</v>
      </c>
      <c r="M1191" t="s">
        <v>21</v>
      </c>
    </row>
    <row r="1192" spans="1:13" x14ac:dyDescent="0.35">
      <c r="A1192" t="str">
        <f>"627-9131"</f>
        <v>627-9131</v>
      </c>
      <c r="B1192" t="s">
        <v>4628</v>
      </c>
      <c r="C1192" t="str">
        <f>"5845"</f>
        <v>5845</v>
      </c>
      <c r="D1192" t="str">
        <f>"3"</f>
        <v>3</v>
      </c>
      <c r="E1192" t="s">
        <v>4629</v>
      </c>
      <c r="F1192" t="s">
        <v>24</v>
      </c>
      <c r="G1192" t="s">
        <v>4630</v>
      </c>
      <c r="H1192" t="s">
        <v>17</v>
      </c>
      <c r="I1192" t="s">
        <v>18</v>
      </c>
      <c r="J1192" t="str">
        <f>"4386997169"</f>
        <v>4386997169</v>
      </c>
      <c r="K1192" t="s">
        <v>4631</v>
      </c>
      <c r="L1192" t="s">
        <v>88</v>
      </c>
      <c r="M1192" t="s">
        <v>21</v>
      </c>
    </row>
    <row r="1193" spans="1:13" x14ac:dyDescent="0.35">
      <c r="A1193" t="str">
        <f>"236-2899"</f>
        <v>236-2899</v>
      </c>
      <c r="B1193" t="s">
        <v>4632</v>
      </c>
      <c r="C1193" t="str">
        <f>"8421"</f>
        <v>8421</v>
      </c>
      <c r="D1193" t="str">
        <f>"5"</f>
        <v>5</v>
      </c>
      <c r="E1193" t="s">
        <v>4633</v>
      </c>
      <c r="F1193" t="s">
        <v>40</v>
      </c>
      <c r="G1193" t="s">
        <v>4634</v>
      </c>
      <c r="H1193" t="s">
        <v>17</v>
      </c>
      <c r="I1193" t="s">
        <v>18</v>
      </c>
      <c r="J1193" t="str">
        <f>"4382265920"</f>
        <v>4382265920</v>
      </c>
      <c r="K1193" t="s">
        <v>4635</v>
      </c>
      <c r="L1193" t="s">
        <v>76</v>
      </c>
      <c r="M1193" t="s">
        <v>21</v>
      </c>
    </row>
    <row r="1194" spans="1:13" x14ac:dyDescent="0.35">
      <c r="A1194" t="str">
        <f>"086-9431"</f>
        <v>086-9431</v>
      </c>
      <c r="B1194" t="s">
        <v>4636</v>
      </c>
      <c r="C1194" t="str">
        <f>"2742"</f>
        <v>2742</v>
      </c>
      <c r="E1194" t="s">
        <v>4637</v>
      </c>
      <c r="F1194" t="s">
        <v>2031</v>
      </c>
      <c r="G1194" t="s">
        <v>4638</v>
      </c>
      <c r="H1194" t="s">
        <v>17</v>
      </c>
      <c r="I1194" t="s">
        <v>18</v>
      </c>
      <c r="J1194" t="str">
        <f>"5148035237"</f>
        <v>5148035237</v>
      </c>
      <c r="K1194" t="s">
        <v>4639</v>
      </c>
      <c r="L1194" t="s">
        <v>20</v>
      </c>
      <c r="M1194" t="s">
        <v>21</v>
      </c>
    </row>
    <row r="1195" spans="1:13" x14ac:dyDescent="0.35">
      <c r="A1195" t="str">
        <f>"147-0465"</f>
        <v>147-0465</v>
      </c>
      <c r="B1195" t="s">
        <v>4641</v>
      </c>
      <c r="C1195" t="str">
        <f>"32"</f>
        <v>32</v>
      </c>
      <c r="E1195" t="s">
        <v>4642</v>
      </c>
      <c r="F1195" t="s">
        <v>4105</v>
      </c>
      <c r="G1195" t="s">
        <v>4643</v>
      </c>
      <c r="H1195" t="s">
        <v>17</v>
      </c>
      <c r="I1195" t="s">
        <v>18</v>
      </c>
      <c r="J1195" t="str">
        <f>"5149788190"</f>
        <v>5149788190</v>
      </c>
      <c r="K1195" t="s">
        <v>4644</v>
      </c>
      <c r="L1195" t="s">
        <v>20</v>
      </c>
      <c r="M1195" t="s">
        <v>21</v>
      </c>
    </row>
    <row r="1196" spans="1:13" x14ac:dyDescent="0.35">
      <c r="A1196" t="str">
        <f>"154-2069"</f>
        <v>154-2069</v>
      </c>
      <c r="B1196" t="s">
        <v>4645</v>
      </c>
      <c r="C1196" t="str">
        <f>"1261"</f>
        <v>1261</v>
      </c>
      <c r="E1196" t="s">
        <v>4646</v>
      </c>
      <c r="F1196" t="s">
        <v>32</v>
      </c>
      <c r="G1196" t="s">
        <v>4647</v>
      </c>
      <c r="H1196" t="s">
        <v>17</v>
      </c>
      <c r="I1196" t="s">
        <v>18</v>
      </c>
      <c r="J1196" t="str">
        <f>"4383993268"</f>
        <v>4383993268</v>
      </c>
      <c r="K1196" t="s">
        <v>4648</v>
      </c>
      <c r="L1196" t="s">
        <v>350</v>
      </c>
      <c r="M1196" t="s">
        <v>21</v>
      </c>
    </row>
    <row r="1197" spans="1:13" x14ac:dyDescent="0.35">
      <c r="A1197" t="str">
        <f>"238-9555"</f>
        <v>238-9555</v>
      </c>
      <c r="B1197" t="s">
        <v>4649</v>
      </c>
      <c r="C1197" t="str">
        <f>"379"</f>
        <v>379</v>
      </c>
      <c r="E1197" t="s">
        <v>4650</v>
      </c>
      <c r="F1197" t="s">
        <v>157</v>
      </c>
      <c r="G1197" t="s">
        <v>4651</v>
      </c>
      <c r="H1197" t="s">
        <v>17</v>
      </c>
      <c r="I1197" t="s">
        <v>18</v>
      </c>
      <c r="J1197" t="str">
        <f>"4384016047"</f>
        <v>4384016047</v>
      </c>
      <c r="K1197" t="s">
        <v>4652</v>
      </c>
      <c r="L1197" t="s">
        <v>39</v>
      </c>
      <c r="M1197" t="s">
        <v>21</v>
      </c>
    </row>
    <row r="1198" spans="1:13" x14ac:dyDescent="0.35">
      <c r="A1198" t="str">
        <f>"238-9934"</f>
        <v>238-9934</v>
      </c>
      <c r="B1198" t="s">
        <v>4653</v>
      </c>
      <c r="C1198" t="str">
        <f>"5935"</f>
        <v>5935</v>
      </c>
      <c r="E1198" t="s">
        <v>847</v>
      </c>
      <c r="F1198" t="s">
        <v>40</v>
      </c>
      <c r="G1198" t="s">
        <v>1491</v>
      </c>
      <c r="H1198" t="s">
        <v>17</v>
      </c>
      <c r="I1198" t="s">
        <v>18</v>
      </c>
      <c r="J1198" t="str">
        <f>"4389261860"</f>
        <v>4389261860</v>
      </c>
      <c r="K1198" t="s">
        <v>4654</v>
      </c>
      <c r="L1198" t="s">
        <v>869</v>
      </c>
      <c r="M1198" t="s">
        <v>21</v>
      </c>
    </row>
    <row r="1199" spans="1:13" x14ac:dyDescent="0.35">
      <c r="A1199" t="str">
        <f>"239-0163"</f>
        <v>239-0163</v>
      </c>
      <c r="B1199" t="s">
        <v>4655</v>
      </c>
      <c r="C1199" t="str">
        <f>"372"</f>
        <v>372</v>
      </c>
      <c r="E1199" t="s">
        <v>4656</v>
      </c>
      <c r="F1199" t="s">
        <v>143</v>
      </c>
      <c r="G1199" t="s">
        <v>4657</v>
      </c>
      <c r="H1199" t="s">
        <v>17</v>
      </c>
      <c r="I1199" t="s">
        <v>18</v>
      </c>
      <c r="J1199" t="str">
        <f>"5145708910"</f>
        <v>5145708910</v>
      </c>
      <c r="K1199" t="s">
        <v>4658</v>
      </c>
      <c r="L1199" t="s">
        <v>137</v>
      </c>
      <c r="M1199" t="s">
        <v>21</v>
      </c>
    </row>
    <row r="1200" spans="1:13" x14ac:dyDescent="0.35">
      <c r="A1200" t="str">
        <f>"239-0529"</f>
        <v>239-0529</v>
      </c>
      <c r="B1200" t="s">
        <v>4659</v>
      </c>
      <c r="C1200" t="str">
        <f>"687"</f>
        <v>687</v>
      </c>
      <c r="E1200" t="s">
        <v>4660</v>
      </c>
      <c r="F1200" t="s">
        <v>3755</v>
      </c>
      <c r="G1200" t="s">
        <v>4661</v>
      </c>
      <c r="H1200" t="s">
        <v>17</v>
      </c>
      <c r="I1200" t="s">
        <v>18</v>
      </c>
      <c r="J1200" t="str">
        <f>"4387634415"</f>
        <v>4387634415</v>
      </c>
      <c r="K1200" t="s">
        <v>4662</v>
      </c>
      <c r="L1200" t="s">
        <v>466</v>
      </c>
      <c r="M1200" t="s">
        <v>21</v>
      </c>
    </row>
    <row r="1201" spans="1:13" x14ac:dyDescent="0.35">
      <c r="A1201" t="str">
        <f>"622-2546"</f>
        <v>622-2546</v>
      </c>
      <c r="B1201" t="s">
        <v>4663</v>
      </c>
      <c r="C1201" t="str">
        <f>"9281"</f>
        <v>9281</v>
      </c>
      <c r="E1201" t="s">
        <v>3902</v>
      </c>
      <c r="F1201" t="s">
        <v>24</v>
      </c>
      <c r="G1201" t="s">
        <v>4664</v>
      </c>
      <c r="H1201" t="s">
        <v>17</v>
      </c>
      <c r="I1201" t="s">
        <v>18</v>
      </c>
      <c r="J1201" t="str">
        <f>"5146199249"</f>
        <v>5146199249</v>
      </c>
      <c r="K1201" t="s">
        <v>4665</v>
      </c>
      <c r="L1201" t="s">
        <v>27</v>
      </c>
      <c r="M1201" t="s">
        <v>21</v>
      </c>
    </row>
    <row r="1202" spans="1:13" x14ac:dyDescent="0.35">
      <c r="A1202" t="str">
        <f>"622-7312"</f>
        <v>622-7312</v>
      </c>
      <c r="B1202" t="s">
        <v>4666</v>
      </c>
      <c r="C1202" t="str">
        <f>"6015"</f>
        <v>6015</v>
      </c>
      <c r="E1202" t="s">
        <v>508</v>
      </c>
      <c r="F1202" t="s">
        <v>24</v>
      </c>
      <c r="G1202" t="s">
        <v>4667</v>
      </c>
      <c r="H1202" t="s">
        <v>17</v>
      </c>
      <c r="I1202" t="s">
        <v>18</v>
      </c>
      <c r="J1202" t="str">
        <f>"4509448691"</f>
        <v>4509448691</v>
      </c>
      <c r="K1202" t="s">
        <v>4668</v>
      </c>
      <c r="L1202" t="s">
        <v>193</v>
      </c>
      <c r="M1202" t="s">
        <v>21</v>
      </c>
    </row>
    <row r="1203" spans="1:13" x14ac:dyDescent="0.35">
      <c r="A1203" t="str">
        <f>"239-2581"</f>
        <v>239-2581</v>
      </c>
      <c r="B1203" t="s">
        <v>4669</v>
      </c>
      <c r="C1203" t="str">
        <f>"5697"</f>
        <v>5697</v>
      </c>
      <c r="D1203" t="str">
        <f>"1"</f>
        <v>1</v>
      </c>
      <c r="E1203" t="s">
        <v>2698</v>
      </c>
      <c r="F1203" t="s">
        <v>24</v>
      </c>
      <c r="G1203" t="s">
        <v>4670</v>
      </c>
      <c r="H1203" t="s">
        <v>17</v>
      </c>
      <c r="I1203" t="s">
        <v>18</v>
      </c>
      <c r="J1203" t="str">
        <f>"4384078991"</f>
        <v>4384078991</v>
      </c>
      <c r="K1203" t="s">
        <v>4671</v>
      </c>
      <c r="L1203" t="s">
        <v>869</v>
      </c>
      <c r="M1203" t="s">
        <v>21</v>
      </c>
    </row>
    <row r="1204" spans="1:13" x14ac:dyDescent="0.35">
      <c r="A1204" t="str">
        <f>"239-2860"</f>
        <v>239-2860</v>
      </c>
      <c r="B1204" t="s">
        <v>4672</v>
      </c>
      <c r="C1204" t="str">
        <f>"708"</f>
        <v>708</v>
      </c>
      <c r="D1204" t="str">
        <f>"7"</f>
        <v>7</v>
      </c>
      <c r="E1204" t="s">
        <v>4673</v>
      </c>
      <c r="F1204" t="s">
        <v>3755</v>
      </c>
      <c r="G1204" t="s">
        <v>4674</v>
      </c>
      <c r="H1204" t="s">
        <v>17</v>
      </c>
      <c r="I1204" t="s">
        <v>18</v>
      </c>
      <c r="J1204" t="str">
        <f>"4383912254"</f>
        <v>4383912254</v>
      </c>
      <c r="K1204" t="s">
        <v>4675</v>
      </c>
      <c r="L1204" t="s">
        <v>466</v>
      </c>
      <c r="M1204" t="s">
        <v>21</v>
      </c>
    </row>
    <row r="1205" spans="1:13" x14ac:dyDescent="0.35">
      <c r="A1205" t="str">
        <f>"239-3033"</f>
        <v>239-3033</v>
      </c>
      <c r="B1205" t="s">
        <v>4676</v>
      </c>
      <c r="C1205" t="str">
        <f>"2012"</f>
        <v>2012</v>
      </c>
      <c r="E1205" t="s">
        <v>4677</v>
      </c>
      <c r="F1205" t="s">
        <v>24</v>
      </c>
      <c r="G1205" t="s">
        <v>4678</v>
      </c>
      <c r="H1205" t="s">
        <v>17</v>
      </c>
      <c r="I1205" t="s">
        <v>18</v>
      </c>
      <c r="J1205" t="str">
        <f>"4389939970"</f>
        <v>4389939970</v>
      </c>
      <c r="K1205" t="s">
        <v>4679</v>
      </c>
      <c r="L1205" t="s">
        <v>396</v>
      </c>
      <c r="M1205" t="s">
        <v>21</v>
      </c>
    </row>
    <row r="1206" spans="1:13" x14ac:dyDescent="0.35">
      <c r="A1206" t="str">
        <f>"239-3317"</f>
        <v>239-3317</v>
      </c>
      <c r="B1206" t="s">
        <v>4680</v>
      </c>
      <c r="C1206" t="str">
        <f>"173"</f>
        <v>173</v>
      </c>
      <c r="E1206" t="s">
        <v>4681</v>
      </c>
      <c r="F1206" t="s">
        <v>1512</v>
      </c>
      <c r="G1206" t="s">
        <v>4682</v>
      </c>
      <c r="H1206" t="s">
        <v>17</v>
      </c>
      <c r="I1206" t="s">
        <v>18</v>
      </c>
      <c r="J1206" t="str">
        <f>"4389281204"</f>
        <v>4389281204</v>
      </c>
      <c r="K1206" t="s">
        <v>4683</v>
      </c>
      <c r="L1206" t="s">
        <v>86</v>
      </c>
      <c r="M1206" t="s">
        <v>21</v>
      </c>
    </row>
    <row r="1207" spans="1:13" x14ac:dyDescent="0.35">
      <c r="A1207" t="str">
        <f>"622-3338"</f>
        <v>622-3338</v>
      </c>
      <c r="B1207" t="s">
        <v>4684</v>
      </c>
      <c r="C1207" t="str">
        <f>"12059"</f>
        <v>12059</v>
      </c>
      <c r="E1207" t="s">
        <v>186</v>
      </c>
      <c r="F1207" t="s">
        <v>24</v>
      </c>
      <c r="G1207" t="s">
        <v>4685</v>
      </c>
      <c r="H1207" t="s">
        <v>17</v>
      </c>
      <c r="I1207" t="s">
        <v>18</v>
      </c>
      <c r="J1207" t="str">
        <f>"5148623731"</f>
        <v>5148623731</v>
      </c>
      <c r="K1207" t="s">
        <v>4686</v>
      </c>
      <c r="L1207" t="s">
        <v>86</v>
      </c>
      <c r="M1207" t="s">
        <v>21</v>
      </c>
    </row>
    <row r="1208" spans="1:13" x14ac:dyDescent="0.35">
      <c r="A1208" t="str">
        <f>"622-3808"</f>
        <v>622-3808</v>
      </c>
      <c r="B1208" t="s">
        <v>4687</v>
      </c>
      <c r="C1208" t="str">
        <f>"83"</f>
        <v>83</v>
      </c>
      <c r="E1208" t="s">
        <v>4688</v>
      </c>
      <c r="F1208" t="s">
        <v>768</v>
      </c>
      <c r="G1208" t="s">
        <v>4689</v>
      </c>
      <c r="H1208" t="s">
        <v>17</v>
      </c>
      <c r="I1208" t="s">
        <v>18</v>
      </c>
      <c r="J1208" t="str">
        <f>"4386301980"</f>
        <v>4386301980</v>
      </c>
      <c r="K1208" t="s">
        <v>4690</v>
      </c>
      <c r="L1208" t="s">
        <v>305</v>
      </c>
      <c r="M1208" t="s">
        <v>21</v>
      </c>
    </row>
    <row r="1209" spans="1:13" x14ac:dyDescent="0.35">
      <c r="A1209" t="str">
        <f>"623-3798"</f>
        <v>623-3798</v>
      </c>
      <c r="B1209" t="s">
        <v>4691</v>
      </c>
      <c r="C1209" t="str">
        <f>"3378"</f>
        <v>3378</v>
      </c>
      <c r="D1209" t="str">
        <f>"001"</f>
        <v>001</v>
      </c>
      <c r="E1209" t="s">
        <v>4491</v>
      </c>
      <c r="F1209" t="s">
        <v>24</v>
      </c>
      <c r="G1209" t="s">
        <v>4492</v>
      </c>
      <c r="H1209" t="s">
        <v>17</v>
      </c>
      <c r="I1209" t="s">
        <v>18</v>
      </c>
      <c r="J1209" t="str">
        <f>"4383739919"</f>
        <v>4383739919</v>
      </c>
      <c r="K1209" t="s">
        <v>4692</v>
      </c>
      <c r="L1209" t="s">
        <v>86</v>
      </c>
      <c r="M1209" t="s">
        <v>21</v>
      </c>
    </row>
    <row r="1210" spans="1:13" x14ac:dyDescent="0.35">
      <c r="A1210" t="str">
        <f>"623-4165"</f>
        <v>623-4165</v>
      </c>
      <c r="B1210" t="s">
        <v>4693</v>
      </c>
      <c r="C1210" t="str">
        <f>"16200"</f>
        <v>16200</v>
      </c>
      <c r="D1210" t="str">
        <f>"102"</f>
        <v>102</v>
      </c>
      <c r="E1210" t="s">
        <v>4694</v>
      </c>
      <c r="F1210" t="s">
        <v>24</v>
      </c>
      <c r="G1210" t="s">
        <v>4695</v>
      </c>
      <c r="H1210" t="s">
        <v>17</v>
      </c>
      <c r="I1210" t="s">
        <v>18</v>
      </c>
      <c r="J1210" t="str">
        <f>"5145464071"</f>
        <v>5145464071</v>
      </c>
      <c r="K1210" t="s">
        <v>4696</v>
      </c>
      <c r="L1210" t="s">
        <v>383</v>
      </c>
      <c r="M1210" t="s">
        <v>21</v>
      </c>
    </row>
    <row r="1211" spans="1:13" x14ac:dyDescent="0.35">
      <c r="A1211" t="str">
        <f>"623-4268"</f>
        <v>623-4268</v>
      </c>
      <c r="B1211" t="s">
        <v>4697</v>
      </c>
      <c r="C1211" t="str">
        <f>"6265"</f>
        <v>6265</v>
      </c>
      <c r="E1211" t="s">
        <v>3226</v>
      </c>
      <c r="F1211" t="s">
        <v>24</v>
      </c>
      <c r="G1211" t="s">
        <v>4698</v>
      </c>
      <c r="H1211" t="s">
        <v>17</v>
      </c>
      <c r="I1211" t="s">
        <v>18</v>
      </c>
      <c r="J1211" t="str">
        <f>"4384060119"</f>
        <v>4384060119</v>
      </c>
      <c r="K1211" t="s">
        <v>4699</v>
      </c>
      <c r="L1211" t="s">
        <v>168</v>
      </c>
      <c r="M1211" t="s">
        <v>21</v>
      </c>
    </row>
    <row r="1212" spans="1:13" x14ac:dyDescent="0.35">
      <c r="A1212" t="str">
        <f>"623-4433"</f>
        <v>623-4433</v>
      </c>
      <c r="B1212" t="s">
        <v>4700</v>
      </c>
      <c r="C1212" t="str">
        <f>"5251"</f>
        <v>5251</v>
      </c>
      <c r="D1212" t="str">
        <f>"A"</f>
        <v>A</v>
      </c>
      <c r="E1212" t="s">
        <v>455</v>
      </c>
      <c r="F1212" t="s">
        <v>24</v>
      </c>
      <c r="G1212" t="s">
        <v>2257</v>
      </c>
      <c r="H1212" t="s">
        <v>17</v>
      </c>
      <c r="I1212" t="s">
        <v>18</v>
      </c>
      <c r="J1212" t="str">
        <f>"8199838635"</f>
        <v>8199838635</v>
      </c>
      <c r="K1212" t="s">
        <v>4701</v>
      </c>
      <c r="L1212" t="s">
        <v>396</v>
      </c>
      <c r="M1212" t="s">
        <v>21</v>
      </c>
    </row>
    <row r="1213" spans="1:13" x14ac:dyDescent="0.35">
      <c r="A1213" t="str">
        <f>"623-6202"</f>
        <v>623-6202</v>
      </c>
      <c r="B1213" t="s">
        <v>4702</v>
      </c>
      <c r="C1213" t="str">
        <f>"7100"</f>
        <v>7100</v>
      </c>
      <c r="E1213" t="s">
        <v>2129</v>
      </c>
      <c r="F1213" t="s">
        <v>24</v>
      </c>
      <c r="G1213" t="s">
        <v>4703</v>
      </c>
      <c r="H1213" t="s">
        <v>17</v>
      </c>
      <c r="I1213" t="s">
        <v>18</v>
      </c>
      <c r="J1213" t="str">
        <f>"4384078775"</f>
        <v>4384078775</v>
      </c>
      <c r="K1213" t="s">
        <v>4704</v>
      </c>
      <c r="L1213" t="s">
        <v>76</v>
      </c>
      <c r="M1213" t="s">
        <v>21</v>
      </c>
    </row>
    <row r="1214" spans="1:13" x14ac:dyDescent="0.35">
      <c r="A1214" t="str">
        <f>"623-6429"</f>
        <v>623-6429</v>
      </c>
      <c r="B1214" t="s">
        <v>4705</v>
      </c>
      <c r="C1214" t="str">
        <f>"8228"</f>
        <v>8228</v>
      </c>
      <c r="E1214" t="s">
        <v>4706</v>
      </c>
      <c r="F1214" t="s">
        <v>24</v>
      </c>
      <c r="G1214" t="s">
        <v>4707</v>
      </c>
      <c r="H1214" t="s">
        <v>17</v>
      </c>
      <c r="I1214" t="s">
        <v>18</v>
      </c>
      <c r="J1214" t="str">
        <f>"4385290577"</f>
        <v>4385290577</v>
      </c>
      <c r="K1214" t="s">
        <v>4708</v>
      </c>
      <c r="L1214" t="s">
        <v>76</v>
      </c>
      <c r="M1214" t="s">
        <v>21</v>
      </c>
    </row>
    <row r="1215" spans="1:13" x14ac:dyDescent="0.35">
      <c r="A1215" t="str">
        <f>"623-6692"</f>
        <v>623-6692</v>
      </c>
      <c r="B1215" t="s">
        <v>4709</v>
      </c>
      <c r="C1215" t="str">
        <f>"6080"</f>
        <v>6080</v>
      </c>
      <c r="D1215" t="str">
        <f>"17"</f>
        <v>17</v>
      </c>
      <c r="E1215" t="s">
        <v>4710</v>
      </c>
      <c r="F1215" t="s">
        <v>24</v>
      </c>
      <c r="G1215" t="s">
        <v>4711</v>
      </c>
      <c r="H1215" t="s">
        <v>17</v>
      </c>
      <c r="I1215" t="s">
        <v>18</v>
      </c>
      <c r="J1215" t="str">
        <f>"5142992301"</f>
        <v>5142992301</v>
      </c>
      <c r="K1215" t="s">
        <v>4712</v>
      </c>
      <c r="L1215" t="s">
        <v>396</v>
      </c>
      <c r="M1215" t="s">
        <v>21</v>
      </c>
    </row>
    <row r="1216" spans="1:13" x14ac:dyDescent="0.35">
      <c r="A1216" t="str">
        <f>"623-7229"</f>
        <v>623-7229</v>
      </c>
      <c r="B1216" t="s">
        <v>4713</v>
      </c>
      <c r="C1216" t="str">
        <f>"6421"</f>
        <v>6421</v>
      </c>
      <c r="E1216" t="s">
        <v>4714</v>
      </c>
      <c r="F1216" t="s">
        <v>24</v>
      </c>
      <c r="G1216" t="s">
        <v>4715</v>
      </c>
      <c r="H1216" t="s">
        <v>17</v>
      </c>
      <c r="I1216" t="s">
        <v>18</v>
      </c>
      <c r="J1216" t="str">
        <f>"4389952911"</f>
        <v>4389952911</v>
      </c>
      <c r="K1216" t="s">
        <v>4716</v>
      </c>
      <c r="L1216" t="s">
        <v>137</v>
      </c>
      <c r="M1216" t="s">
        <v>21</v>
      </c>
    </row>
    <row r="1217" spans="1:13" x14ac:dyDescent="0.35">
      <c r="A1217" t="str">
        <f>"625-1114"</f>
        <v>625-1114</v>
      </c>
      <c r="B1217" t="s">
        <v>4717</v>
      </c>
      <c r="C1217" t="str">
        <f>"1866"</f>
        <v>1866</v>
      </c>
      <c r="E1217" t="s">
        <v>4718</v>
      </c>
      <c r="F1217" t="s">
        <v>24</v>
      </c>
      <c r="G1217" t="s">
        <v>4719</v>
      </c>
      <c r="H1217" t="s">
        <v>17</v>
      </c>
      <c r="I1217" t="s">
        <v>18</v>
      </c>
      <c r="J1217" t="str">
        <f>"5149411433"</f>
        <v>5149411433</v>
      </c>
      <c r="K1217" t="s">
        <v>4720</v>
      </c>
      <c r="L1217" t="s">
        <v>396</v>
      </c>
      <c r="M1217" t="s">
        <v>21</v>
      </c>
    </row>
    <row r="1218" spans="1:13" x14ac:dyDescent="0.35">
      <c r="A1218" t="str">
        <f>"625-1141"</f>
        <v>625-1141</v>
      </c>
      <c r="B1218" t="s">
        <v>4721</v>
      </c>
      <c r="C1218" t="str">
        <f>"315"</f>
        <v>315</v>
      </c>
      <c r="E1218" t="s">
        <v>4722</v>
      </c>
      <c r="F1218" t="s">
        <v>1197</v>
      </c>
      <c r="G1218" t="s">
        <v>4723</v>
      </c>
      <c r="H1218" t="s">
        <v>17</v>
      </c>
      <c r="I1218" t="s">
        <v>18</v>
      </c>
      <c r="J1218" t="str">
        <f>"5149225216"</f>
        <v>5149225216</v>
      </c>
      <c r="K1218" t="s">
        <v>4724</v>
      </c>
      <c r="L1218" t="s">
        <v>86</v>
      </c>
      <c r="M1218" t="s">
        <v>21</v>
      </c>
    </row>
    <row r="1219" spans="1:13" x14ac:dyDescent="0.35">
      <c r="A1219" t="str">
        <f>"625-1420"</f>
        <v>625-1420</v>
      </c>
      <c r="B1219" t="s">
        <v>4725</v>
      </c>
      <c r="C1219" t="str">
        <f>"7165"</f>
        <v>7165</v>
      </c>
      <c r="E1219" t="s">
        <v>4726</v>
      </c>
      <c r="F1219" t="s">
        <v>24</v>
      </c>
      <c r="G1219" t="s">
        <v>4727</v>
      </c>
      <c r="H1219" t="s">
        <v>17</v>
      </c>
      <c r="I1219" t="s">
        <v>18</v>
      </c>
      <c r="J1219" t="str">
        <f>"4382294960"</f>
        <v>4382294960</v>
      </c>
      <c r="K1219" t="s">
        <v>4728</v>
      </c>
      <c r="L1219" t="s">
        <v>534</v>
      </c>
      <c r="M1219" t="s">
        <v>21</v>
      </c>
    </row>
    <row r="1220" spans="1:13" x14ac:dyDescent="0.35">
      <c r="A1220" t="str">
        <f>"625-1540"</f>
        <v>625-1540</v>
      </c>
      <c r="B1220" t="s">
        <v>4729</v>
      </c>
      <c r="C1220" t="str">
        <f>"10240"</f>
        <v>10240</v>
      </c>
      <c r="E1220" t="s">
        <v>4730</v>
      </c>
      <c r="F1220" t="s">
        <v>24</v>
      </c>
      <c r="G1220" t="s">
        <v>4731</v>
      </c>
      <c r="H1220" t="s">
        <v>17</v>
      </c>
      <c r="I1220" t="s">
        <v>18</v>
      </c>
      <c r="J1220" t="str">
        <f>"4383793261"</f>
        <v>4383793261</v>
      </c>
      <c r="K1220" t="s">
        <v>4732</v>
      </c>
      <c r="L1220" t="s">
        <v>76</v>
      </c>
      <c r="M1220" t="s">
        <v>21</v>
      </c>
    </row>
    <row r="1221" spans="1:13" x14ac:dyDescent="0.35">
      <c r="A1221" t="str">
        <f>"625-4077"</f>
        <v>625-4077</v>
      </c>
      <c r="B1221" t="s">
        <v>4733</v>
      </c>
      <c r="C1221" t="str">
        <f>"9078"</f>
        <v>9078</v>
      </c>
      <c r="E1221" t="s">
        <v>4734</v>
      </c>
      <c r="F1221" t="s">
        <v>24</v>
      </c>
      <c r="G1221" t="s">
        <v>4735</v>
      </c>
      <c r="H1221" t="s">
        <v>17</v>
      </c>
      <c r="I1221" t="s">
        <v>18</v>
      </c>
      <c r="J1221" t="str">
        <f>"4389269551"</f>
        <v>4389269551</v>
      </c>
      <c r="K1221" t="s">
        <v>4736</v>
      </c>
      <c r="L1221" t="s">
        <v>86</v>
      </c>
      <c r="M1221" t="s">
        <v>21</v>
      </c>
    </row>
    <row r="1222" spans="1:13" x14ac:dyDescent="0.35">
      <c r="A1222" t="str">
        <f>"625-4143"</f>
        <v>625-4143</v>
      </c>
      <c r="B1222" t="s">
        <v>4737</v>
      </c>
      <c r="C1222" t="str">
        <f>"8656"</f>
        <v>8656</v>
      </c>
      <c r="E1222" t="s">
        <v>255</v>
      </c>
      <c r="F1222" t="s">
        <v>24</v>
      </c>
      <c r="G1222" t="s">
        <v>4738</v>
      </c>
      <c r="H1222" t="s">
        <v>17</v>
      </c>
      <c r="I1222" t="s">
        <v>18</v>
      </c>
      <c r="J1222" t="str">
        <f>"4388785281"</f>
        <v>4388785281</v>
      </c>
      <c r="K1222" t="s">
        <v>4739</v>
      </c>
      <c r="L1222" t="s">
        <v>869</v>
      </c>
      <c r="M1222" t="s">
        <v>21</v>
      </c>
    </row>
    <row r="1223" spans="1:13" x14ac:dyDescent="0.35">
      <c r="A1223" t="str">
        <f>"098-1889"</f>
        <v>098-1889</v>
      </c>
      <c r="B1223" t="s">
        <v>4740</v>
      </c>
      <c r="C1223" t="str">
        <f>"1409"</f>
        <v>1409</v>
      </c>
      <c r="E1223" t="s">
        <v>4741</v>
      </c>
      <c r="F1223" t="s">
        <v>24</v>
      </c>
      <c r="G1223" t="s">
        <v>4742</v>
      </c>
      <c r="H1223" t="s">
        <v>17</v>
      </c>
      <c r="I1223" t="s">
        <v>18</v>
      </c>
      <c r="J1223" t="str">
        <f>"8199444626"</f>
        <v>8199444626</v>
      </c>
      <c r="K1223" t="s">
        <v>4743</v>
      </c>
      <c r="L1223" t="s">
        <v>20</v>
      </c>
      <c r="M1223" t="s">
        <v>21</v>
      </c>
    </row>
    <row r="1224" spans="1:13" x14ac:dyDescent="0.35">
      <c r="A1224" t="str">
        <f>"102-6049"</f>
        <v>102-6049</v>
      </c>
      <c r="B1224" t="s">
        <v>4744</v>
      </c>
      <c r="C1224" t="str">
        <f>"1615"</f>
        <v>1615</v>
      </c>
      <c r="E1224" t="s">
        <v>4745</v>
      </c>
      <c r="F1224" t="s">
        <v>4746</v>
      </c>
      <c r="G1224" t="s">
        <v>4747</v>
      </c>
      <c r="H1224" t="s">
        <v>17</v>
      </c>
      <c r="I1224" t="s">
        <v>18</v>
      </c>
      <c r="J1224" t="str">
        <f>"5149490083"</f>
        <v>5149490083</v>
      </c>
      <c r="K1224" t="s">
        <v>4748</v>
      </c>
      <c r="L1224" t="s">
        <v>319</v>
      </c>
      <c r="M1224" t="s">
        <v>21</v>
      </c>
    </row>
    <row r="1225" spans="1:13" x14ac:dyDescent="0.35">
      <c r="A1225" t="str">
        <f>"106-7308"</f>
        <v>106-7308</v>
      </c>
      <c r="B1225" t="s">
        <v>4749</v>
      </c>
      <c r="C1225" t="str">
        <f>"21"</f>
        <v>21</v>
      </c>
      <c r="E1225" t="s">
        <v>4750</v>
      </c>
      <c r="F1225" t="s">
        <v>2500</v>
      </c>
      <c r="G1225" t="s">
        <v>4751</v>
      </c>
      <c r="H1225" t="s">
        <v>17</v>
      </c>
      <c r="I1225" t="s">
        <v>18</v>
      </c>
      <c r="J1225" t="str">
        <f>"4383895891"</f>
        <v>4383895891</v>
      </c>
      <c r="K1225" t="s">
        <v>4752</v>
      </c>
      <c r="L1225" t="s">
        <v>20</v>
      </c>
      <c r="M1225" t="s">
        <v>21</v>
      </c>
    </row>
    <row r="1226" spans="1:13" x14ac:dyDescent="0.35">
      <c r="A1226" t="str">
        <f>"126-7667"</f>
        <v>126-7667</v>
      </c>
      <c r="B1226" t="s">
        <v>4753</v>
      </c>
      <c r="C1226" t="str">
        <f>"519"</f>
        <v>519</v>
      </c>
      <c r="D1226" t="str">
        <f>"206"</f>
        <v>206</v>
      </c>
      <c r="E1226" t="s">
        <v>2849</v>
      </c>
      <c r="F1226" t="s">
        <v>24</v>
      </c>
      <c r="G1226" t="s">
        <v>4754</v>
      </c>
      <c r="H1226" t="s">
        <v>17</v>
      </c>
      <c r="I1226" t="s">
        <v>18</v>
      </c>
      <c r="J1226" t="str">
        <f>"5145777929"</f>
        <v>5145777929</v>
      </c>
      <c r="K1226" t="s">
        <v>4755</v>
      </c>
      <c r="L1226" t="s">
        <v>20</v>
      </c>
      <c r="M1226" t="s">
        <v>21</v>
      </c>
    </row>
    <row r="1227" spans="1:13" x14ac:dyDescent="0.35">
      <c r="A1227" t="str">
        <f>"127-7691"</f>
        <v>127-7691</v>
      </c>
      <c r="B1227" t="s">
        <v>4756</v>
      </c>
      <c r="C1227" t="str">
        <f>"1222"</f>
        <v>1222</v>
      </c>
      <c r="E1227" t="s">
        <v>4757</v>
      </c>
      <c r="F1227" t="s">
        <v>54</v>
      </c>
      <c r="G1227" t="s">
        <v>4758</v>
      </c>
      <c r="H1227" t="s">
        <v>17</v>
      </c>
      <c r="I1227" t="s">
        <v>18</v>
      </c>
      <c r="J1227" t="str">
        <f>"5145776425"</f>
        <v>5145776425</v>
      </c>
      <c r="K1227" t="s">
        <v>4759</v>
      </c>
      <c r="L1227" t="s">
        <v>20</v>
      </c>
      <c r="M1227" t="s">
        <v>21</v>
      </c>
    </row>
    <row r="1228" spans="1:13" x14ac:dyDescent="0.35">
      <c r="A1228" t="str">
        <f>"132-4745"</f>
        <v>132-4745</v>
      </c>
      <c r="B1228" t="s">
        <v>4760</v>
      </c>
      <c r="C1228" t="str">
        <f>"7270"</f>
        <v>7270</v>
      </c>
      <c r="E1228" t="s">
        <v>4761</v>
      </c>
      <c r="F1228" t="s">
        <v>256</v>
      </c>
      <c r="G1228" t="s">
        <v>4762</v>
      </c>
      <c r="H1228" t="s">
        <v>17</v>
      </c>
      <c r="I1228" t="s">
        <v>18</v>
      </c>
      <c r="J1228" t="str">
        <f>"5148842205"</f>
        <v>5148842205</v>
      </c>
      <c r="K1228" t="s">
        <v>4763</v>
      </c>
      <c r="L1228" t="s">
        <v>20</v>
      </c>
      <c r="M1228" t="s">
        <v>21</v>
      </c>
    </row>
    <row r="1229" spans="1:13" x14ac:dyDescent="0.35">
      <c r="A1229" t="str">
        <f>"231-3566"</f>
        <v>231-3566</v>
      </c>
      <c r="B1229" t="s">
        <v>4764</v>
      </c>
      <c r="C1229" t="str">
        <f>"640"</f>
        <v>640</v>
      </c>
      <c r="E1229" t="s">
        <v>4765</v>
      </c>
      <c r="F1229" t="s">
        <v>24</v>
      </c>
      <c r="G1229" t="s">
        <v>4766</v>
      </c>
      <c r="H1229" t="s">
        <v>17</v>
      </c>
      <c r="I1229" t="s">
        <v>18</v>
      </c>
      <c r="J1229" t="str">
        <f>"4384909999"</f>
        <v>4384909999</v>
      </c>
      <c r="K1229" t="s">
        <v>4767</v>
      </c>
      <c r="L1229" t="s">
        <v>86</v>
      </c>
      <c r="M1229" t="s">
        <v>21</v>
      </c>
    </row>
    <row r="1230" spans="1:13" x14ac:dyDescent="0.35">
      <c r="A1230" t="str">
        <f>"236-0517"</f>
        <v>236-0517</v>
      </c>
      <c r="B1230" t="s">
        <v>4768</v>
      </c>
      <c r="C1230" t="str">
        <f>"4463"</f>
        <v>4463</v>
      </c>
      <c r="E1230" t="s">
        <v>3207</v>
      </c>
      <c r="F1230" t="s">
        <v>24</v>
      </c>
      <c r="G1230" t="s">
        <v>4769</v>
      </c>
      <c r="H1230" t="s">
        <v>17</v>
      </c>
      <c r="I1230" t="s">
        <v>18</v>
      </c>
      <c r="J1230" t="str">
        <f>"4505616317"</f>
        <v>4505616317</v>
      </c>
      <c r="K1230" t="s">
        <v>4770</v>
      </c>
      <c r="L1230" t="s">
        <v>20</v>
      </c>
      <c r="M1230" t="s">
        <v>21</v>
      </c>
    </row>
    <row r="1231" spans="1:13" x14ac:dyDescent="0.35">
      <c r="A1231" t="str">
        <f>"238-4048"</f>
        <v>238-4048</v>
      </c>
      <c r="B1231" t="s">
        <v>4771</v>
      </c>
      <c r="C1231" t="str">
        <f>"3594"</f>
        <v>3594</v>
      </c>
      <c r="E1231" t="s">
        <v>455</v>
      </c>
      <c r="F1231" t="s">
        <v>24</v>
      </c>
      <c r="G1231" t="s">
        <v>4772</v>
      </c>
      <c r="H1231" t="s">
        <v>17</v>
      </c>
      <c r="I1231" t="s">
        <v>18</v>
      </c>
      <c r="J1231" t="str">
        <f>"4389889116"</f>
        <v>4389889116</v>
      </c>
      <c r="K1231" t="s">
        <v>4773</v>
      </c>
      <c r="L1231" t="s">
        <v>869</v>
      </c>
      <c r="M1231" t="s">
        <v>21</v>
      </c>
    </row>
    <row r="1232" spans="1:13" x14ac:dyDescent="0.35">
      <c r="A1232" t="str">
        <f>"238-5105"</f>
        <v>238-5105</v>
      </c>
      <c r="B1232" t="s">
        <v>4774</v>
      </c>
      <c r="C1232" t="str">
        <f>"3780"</f>
        <v>3780</v>
      </c>
      <c r="E1232" t="s">
        <v>4775</v>
      </c>
      <c r="F1232" t="s">
        <v>4776</v>
      </c>
      <c r="G1232" t="s">
        <v>4777</v>
      </c>
      <c r="H1232" t="s">
        <v>17</v>
      </c>
      <c r="I1232" t="s">
        <v>18</v>
      </c>
      <c r="J1232" t="str">
        <f>"4386305525"</f>
        <v>4386305525</v>
      </c>
      <c r="K1232" t="s">
        <v>4778</v>
      </c>
      <c r="L1232" t="s">
        <v>220</v>
      </c>
      <c r="M1232" t="s">
        <v>21</v>
      </c>
    </row>
    <row r="1233" spans="1:13" x14ac:dyDescent="0.35">
      <c r="A1233" t="str">
        <f>"238-6396"</f>
        <v>238-6396</v>
      </c>
      <c r="B1233" t="s">
        <v>4779</v>
      </c>
      <c r="C1233" t="str">
        <f>"4204"</f>
        <v>4204</v>
      </c>
      <c r="E1233" t="s">
        <v>4780</v>
      </c>
      <c r="F1233" t="s">
        <v>54</v>
      </c>
      <c r="G1233" t="s">
        <v>4781</v>
      </c>
      <c r="H1233" t="s">
        <v>17</v>
      </c>
      <c r="I1233" t="s">
        <v>18</v>
      </c>
      <c r="J1233" t="str">
        <f>"4387639417"</f>
        <v>4387639417</v>
      </c>
      <c r="K1233" t="s">
        <v>4782</v>
      </c>
      <c r="L1233" t="s">
        <v>39</v>
      </c>
      <c r="M1233" t="s">
        <v>21</v>
      </c>
    </row>
    <row r="1234" spans="1:13" x14ac:dyDescent="0.35">
      <c r="A1234" t="str">
        <f>"238-4457"</f>
        <v>238-4457</v>
      </c>
      <c r="B1234" t="s">
        <v>4783</v>
      </c>
      <c r="C1234" t="str">
        <f>"2726"</f>
        <v>2726</v>
      </c>
      <c r="E1234" t="s">
        <v>1854</v>
      </c>
      <c r="F1234" t="s">
        <v>24</v>
      </c>
      <c r="G1234" t="s">
        <v>4784</v>
      </c>
      <c r="H1234" t="s">
        <v>17</v>
      </c>
      <c r="I1234" t="s">
        <v>18</v>
      </c>
      <c r="J1234" t="str">
        <f>"4385068321"</f>
        <v>4385068321</v>
      </c>
      <c r="K1234" t="s">
        <v>4785</v>
      </c>
      <c r="L1234" t="s">
        <v>20</v>
      </c>
      <c r="M1234" t="s">
        <v>21</v>
      </c>
    </row>
    <row r="1235" spans="1:13" x14ac:dyDescent="0.35">
      <c r="A1235" t="str">
        <f>"239-1271"</f>
        <v>239-1271</v>
      </c>
      <c r="B1235" t="s">
        <v>4786</v>
      </c>
      <c r="C1235" t="str">
        <f>"5897"</f>
        <v>5897</v>
      </c>
      <c r="E1235" t="s">
        <v>3884</v>
      </c>
      <c r="F1235" t="s">
        <v>24</v>
      </c>
      <c r="G1235" t="s">
        <v>1180</v>
      </c>
      <c r="H1235" t="s">
        <v>17</v>
      </c>
      <c r="I1235" t="s">
        <v>18</v>
      </c>
      <c r="J1235" t="str">
        <f>"5142142280"</f>
        <v>5142142280</v>
      </c>
      <c r="K1235" t="s">
        <v>4787</v>
      </c>
      <c r="L1235" t="s">
        <v>383</v>
      </c>
      <c r="M1235" t="s">
        <v>21</v>
      </c>
    </row>
    <row r="1236" spans="1:13" x14ac:dyDescent="0.35">
      <c r="A1236" t="str">
        <f>"619-3626"</f>
        <v>619-3626</v>
      </c>
      <c r="B1236" t="s">
        <v>4788</v>
      </c>
      <c r="C1236" t="str">
        <f>"172"</f>
        <v>172</v>
      </c>
      <c r="E1236" t="s">
        <v>4789</v>
      </c>
      <c r="F1236" t="s">
        <v>24</v>
      </c>
      <c r="G1236" t="s">
        <v>4790</v>
      </c>
      <c r="H1236" t="s">
        <v>17</v>
      </c>
      <c r="I1236" t="s">
        <v>18</v>
      </c>
      <c r="J1236" t="str">
        <f>"4388326643"</f>
        <v>4388326643</v>
      </c>
      <c r="K1236" t="s">
        <v>4791</v>
      </c>
      <c r="L1236" t="s">
        <v>39</v>
      </c>
      <c r="M1236" t="s">
        <v>21</v>
      </c>
    </row>
    <row r="1237" spans="1:13" x14ac:dyDescent="0.35">
      <c r="A1237" t="str">
        <f>"622-6590"</f>
        <v>622-6590</v>
      </c>
      <c r="B1237" t="s">
        <v>4792</v>
      </c>
      <c r="C1237" t="str">
        <f>"3541"</f>
        <v>3541</v>
      </c>
      <c r="D1237" t="str">
        <f>"1"</f>
        <v>1</v>
      </c>
      <c r="E1237" t="s">
        <v>213</v>
      </c>
      <c r="F1237" t="s">
        <v>24</v>
      </c>
      <c r="G1237" t="s">
        <v>4793</v>
      </c>
      <c r="H1237" t="s">
        <v>17</v>
      </c>
      <c r="I1237" t="s">
        <v>18</v>
      </c>
      <c r="J1237" t="str">
        <f>"4388753632"</f>
        <v>4388753632</v>
      </c>
      <c r="K1237" t="s">
        <v>4794</v>
      </c>
      <c r="L1237" t="s">
        <v>396</v>
      </c>
      <c r="M1237" t="s">
        <v>21</v>
      </c>
    </row>
    <row r="1238" spans="1:13" x14ac:dyDescent="0.35">
      <c r="A1238" t="str">
        <f>"622-6636"</f>
        <v>622-6636</v>
      </c>
      <c r="B1238" t="s">
        <v>4795</v>
      </c>
      <c r="C1238" t="str">
        <f>"250"</f>
        <v>250</v>
      </c>
      <c r="D1238" t="str">
        <f>"4"</f>
        <v>4</v>
      </c>
      <c r="E1238" t="s">
        <v>1409</v>
      </c>
      <c r="F1238" t="s">
        <v>24</v>
      </c>
      <c r="G1238" t="s">
        <v>4796</v>
      </c>
      <c r="H1238" t="s">
        <v>17</v>
      </c>
      <c r="I1238" t="s">
        <v>18</v>
      </c>
      <c r="J1238" t="str">
        <f>"5147463499"</f>
        <v>5147463499</v>
      </c>
      <c r="K1238" t="s">
        <v>4797</v>
      </c>
      <c r="L1238" t="s">
        <v>86</v>
      </c>
      <c r="M1238" t="s">
        <v>21</v>
      </c>
    </row>
    <row r="1239" spans="1:13" x14ac:dyDescent="0.35">
      <c r="A1239" t="str">
        <f>"622-7329"</f>
        <v>622-7329</v>
      </c>
      <c r="B1239" t="s">
        <v>4798</v>
      </c>
      <c r="C1239" t="str">
        <f>"5573"</f>
        <v>5573</v>
      </c>
      <c r="D1239" t="str">
        <f>"2"</f>
        <v>2</v>
      </c>
      <c r="E1239" t="s">
        <v>946</v>
      </c>
      <c r="F1239" t="s">
        <v>24</v>
      </c>
      <c r="G1239" t="s">
        <v>4799</v>
      </c>
      <c r="H1239" t="s">
        <v>17</v>
      </c>
      <c r="I1239" t="s">
        <v>18</v>
      </c>
      <c r="J1239" t="str">
        <f>"4387879586"</f>
        <v>4387879586</v>
      </c>
      <c r="K1239" t="s">
        <v>4800</v>
      </c>
      <c r="L1239" t="s">
        <v>86</v>
      </c>
      <c r="M1239" t="s">
        <v>21</v>
      </c>
    </row>
    <row r="1240" spans="1:13" x14ac:dyDescent="0.35">
      <c r="A1240" t="str">
        <f>"622-7342"</f>
        <v>622-7342</v>
      </c>
      <c r="B1240" t="s">
        <v>4801</v>
      </c>
      <c r="C1240" t="str">
        <f>"6442"</f>
        <v>6442</v>
      </c>
      <c r="E1240" t="s">
        <v>4802</v>
      </c>
      <c r="F1240" t="s">
        <v>24</v>
      </c>
      <c r="G1240" t="s">
        <v>2993</v>
      </c>
      <c r="H1240" t="s">
        <v>17</v>
      </c>
      <c r="I1240" t="s">
        <v>18</v>
      </c>
      <c r="J1240" t="str">
        <f>"4387796365"</f>
        <v>4387796365</v>
      </c>
      <c r="K1240" t="s">
        <v>4803</v>
      </c>
      <c r="L1240" t="s">
        <v>396</v>
      </c>
      <c r="M1240" t="s">
        <v>21</v>
      </c>
    </row>
    <row r="1241" spans="1:13" x14ac:dyDescent="0.35">
      <c r="A1241" t="str">
        <f>"623-9763"</f>
        <v>623-9763</v>
      </c>
      <c r="B1241" t="s">
        <v>4804</v>
      </c>
      <c r="C1241" t="str">
        <f>"6639"</f>
        <v>6639</v>
      </c>
      <c r="E1241" t="s">
        <v>3902</v>
      </c>
      <c r="F1241" t="s">
        <v>24</v>
      </c>
      <c r="G1241" t="s">
        <v>4805</v>
      </c>
      <c r="H1241" t="s">
        <v>17</v>
      </c>
      <c r="I1241" t="s">
        <v>18</v>
      </c>
      <c r="J1241" t="str">
        <f>"4389796165"</f>
        <v>4389796165</v>
      </c>
      <c r="K1241" t="s">
        <v>4806</v>
      </c>
      <c r="L1241" t="s">
        <v>383</v>
      </c>
      <c r="M1241" t="s">
        <v>21</v>
      </c>
    </row>
    <row r="1242" spans="1:13" x14ac:dyDescent="0.35">
      <c r="A1242" t="str">
        <f>"624-0328"</f>
        <v>624-0328</v>
      </c>
      <c r="B1242" t="s">
        <v>4807</v>
      </c>
      <c r="C1242" t="str">
        <f>"3488"</f>
        <v>3488</v>
      </c>
      <c r="E1242" t="s">
        <v>4808</v>
      </c>
      <c r="F1242" t="s">
        <v>54</v>
      </c>
      <c r="G1242" t="s">
        <v>4809</v>
      </c>
      <c r="H1242" t="s">
        <v>17</v>
      </c>
      <c r="I1242" t="s">
        <v>18</v>
      </c>
      <c r="J1242" t="str">
        <f>"4388369329"</f>
        <v>4388369329</v>
      </c>
      <c r="K1242" t="s">
        <v>4810</v>
      </c>
      <c r="L1242" t="s">
        <v>39</v>
      </c>
      <c r="M1242" t="s">
        <v>21</v>
      </c>
    </row>
    <row r="1243" spans="1:13" x14ac:dyDescent="0.35">
      <c r="A1243" t="str">
        <f>"624-0615"</f>
        <v>624-0615</v>
      </c>
      <c r="B1243" t="s">
        <v>4811</v>
      </c>
      <c r="C1243" t="str">
        <f>"3469"</f>
        <v>3469</v>
      </c>
      <c r="E1243" t="s">
        <v>455</v>
      </c>
      <c r="F1243" t="s">
        <v>24</v>
      </c>
      <c r="G1243" t="s">
        <v>1097</v>
      </c>
      <c r="H1243" t="s">
        <v>17</v>
      </c>
      <c r="I1243" t="s">
        <v>18</v>
      </c>
      <c r="J1243" t="str">
        <f>"8195925111"</f>
        <v>8195925111</v>
      </c>
      <c r="K1243" t="s">
        <v>4812</v>
      </c>
      <c r="L1243" t="s">
        <v>313</v>
      </c>
      <c r="M1243" t="s">
        <v>21</v>
      </c>
    </row>
    <row r="1244" spans="1:13" x14ac:dyDescent="0.35">
      <c r="A1244" t="str">
        <f>"624-2728"</f>
        <v>624-2728</v>
      </c>
      <c r="B1244" t="s">
        <v>4813</v>
      </c>
      <c r="C1244" t="str">
        <f>"6232"</f>
        <v>6232</v>
      </c>
      <c r="E1244" t="s">
        <v>1660</v>
      </c>
      <c r="F1244" t="s">
        <v>24</v>
      </c>
      <c r="G1244" t="s">
        <v>4814</v>
      </c>
      <c r="H1244" t="s">
        <v>17</v>
      </c>
      <c r="I1244" t="s">
        <v>18</v>
      </c>
      <c r="J1244" t="str">
        <f>"4382825382"</f>
        <v>4382825382</v>
      </c>
      <c r="K1244" t="s">
        <v>4815</v>
      </c>
      <c r="L1244" t="s">
        <v>86</v>
      </c>
      <c r="M1244" t="s">
        <v>21</v>
      </c>
    </row>
    <row r="1245" spans="1:13" x14ac:dyDescent="0.35">
      <c r="A1245" t="str">
        <f>"624-3245"</f>
        <v>624-3245</v>
      </c>
      <c r="B1245" t="s">
        <v>4816</v>
      </c>
      <c r="C1245" t="str">
        <f>"7800"</f>
        <v>7800</v>
      </c>
      <c r="E1245" t="s">
        <v>4817</v>
      </c>
      <c r="F1245" t="s">
        <v>24</v>
      </c>
      <c r="G1245" t="s">
        <v>4818</v>
      </c>
      <c r="H1245" t="s">
        <v>17</v>
      </c>
      <c r="I1245" t="s">
        <v>18</v>
      </c>
      <c r="J1245" t="str">
        <f>"5145740904"</f>
        <v>5145740904</v>
      </c>
      <c r="K1245" t="s">
        <v>4819</v>
      </c>
      <c r="L1245" t="s">
        <v>88</v>
      </c>
      <c r="M1245" t="s">
        <v>21</v>
      </c>
    </row>
    <row r="1246" spans="1:13" x14ac:dyDescent="0.35">
      <c r="A1246" t="str">
        <f>"624-3330"</f>
        <v>624-3330</v>
      </c>
      <c r="B1246" t="s">
        <v>4821</v>
      </c>
      <c r="C1246" t="str">
        <f>"7594"</f>
        <v>7594</v>
      </c>
      <c r="E1246" t="s">
        <v>4822</v>
      </c>
      <c r="F1246" t="s">
        <v>24</v>
      </c>
      <c r="G1246" t="s">
        <v>554</v>
      </c>
      <c r="H1246" t="s">
        <v>17</v>
      </c>
      <c r="I1246" t="s">
        <v>18</v>
      </c>
      <c r="J1246" t="str">
        <f>"4385288271"</f>
        <v>4385288271</v>
      </c>
      <c r="K1246" t="s">
        <v>4823</v>
      </c>
      <c r="L1246" t="s">
        <v>76</v>
      </c>
      <c r="M1246" t="s">
        <v>21</v>
      </c>
    </row>
    <row r="1247" spans="1:13" x14ac:dyDescent="0.35">
      <c r="A1247" t="str">
        <f>"204-0413"</f>
        <v>204-0413</v>
      </c>
      <c r="B1247" t="s">
        <v>4824</v>
      </c>
      <c r="C1247" t="str">
        <f>"465B"</f>
        <v>465B</v>
      </c>
      <c r="E1247" t="s">
        <v>4825</v>
      </c>
      <c r="F1247" t="s">
        <v>2722</v>
      </c>
      <c r="G1247" t="s">
        <v>2723</v>
      </c>
      <c r="H1247" t="s">
        <v>17</v>
      </c>
      <c r="I1247" t="s">
        <v>18</v>
      </c>
      <c r="J1247" t="str">
        <f>"4508029119"</f>
        <v>4508029119</v>
      </c>
      <c r="K1247" t="s">
        <v>4826</v>
      </c>
      <c r="L1247" t="s">
        <v>313</v>
      </c>
      <c r="M1247" t="s">
        <v>21</v>
      </c>
    </row>
    <row r="1248" spans="1:13" x14ac:dyDescent="0.35">
      <c r="A1248" t="str">
        <f>"223-6272"</f>
        <v>223-6272</v>
      </c>
      <c r="B1248" t="s">
        <v>4827</v>
      </c>
      <c r="C1248" t="str">
        <f>"1038"</f>
        <v>1038</v>
      </c>
      <c r="E1248" t="s">
        <v>4828</v>
      </c>
      <c r="F1248" t="s">
        <v>3755</v>
      </c>
      <c r="G1248" t="s">
        <v>4829</v>
      </c>
      <c r="H1248" t="s">
        <v>17</v>
      </c>
      <c r="I1248" t="s">
        <v>18</v>
      </c>
      <c r="J1248" t="str">
        <f>"4384068013"</f>
        <v>4384068013</v>
      </c>
      <c r="K1248" t="s">
        <v>4830</v>
      </c>
      <c r="L1248" t="s">
        <v>39</v>
      </c>
      <c r="M1248" t="s">
        <v>21</v>
      </c>
    </row>
    <row r="1249" spans="1:13" x14ac:dyDescent="0.35">
      <c r="A1249" t="str">
        <f>"223-7745"</f>
        <v>223-7745</v>
      </c>
      <c r="B1249" t="s">
        <v>4831</v>
      </c>
      <c r="C1249" t="str">
        <f>"8644"</f>
        <v>8644</v>
      </c>
      <c r="D1249" t="str">
        <f>"8644"</f>
        <v>8644</v>
      </c>
      <c r="E1249" t="s">
        <v>4832</v>
      </c>
      <c r="F1249" t="s">
        <v>40</v>
      </c>
      <c r="G1249" t="s">
        <v>4833</v>
      </c>
      <c r="H1249" t="s">
        <v>17</v>
      </c>
      <c r="I1249" t="s">
        <v>18</v>
      </c>
      <c r="J1249" t="str">
        <f>"4382299772"</f>
        <v>4382299772</v>
      </c>
      <c r="K1249" t="s">
        <v>4834</v>
      </c>
      <c r="L1249" t="s">
        <v>396</v>
      </c>
      <c r="M1249" t="s">
        <v>21</v>
      </c>
    </row>
    <row r="1250" spans="1:13" x14ac:dyDescent="0.35">
      <c r="A1250" t="str">
        <f>"227-6679"</f>
        <v>227-6679</v>
      </c>
      <c r="B1250" t="s">
        <v>4835</v>
      </c>
      <c r="C1250" t="str">
        <f>"11625"</f>
        <v>11625</v>
      </c>
      <c r="E1250" t="s">
        <v>4836</v>
      </c>
      <c r="F1250" t="s">
        <v>24</v>
      </c>
      <c r="G1250" t="s">
        <v>4837</v>
      </c>
      <c r="H1250" t="s">
        <v>17</v>
      </c>
      <c r="I1250" t="s">
        <v>18</v>
      </c>
      <c r="J1250" t="str">
        <f>"5142253304"</f>
        <v>5142253304</v>
      </c>
      <c r="K1250" t="s">
        <v>4838</v>
      </c>
      <c r="L1250" t="s">
        <v>396</v>
      </c>
      <c r="M1250" t="s">
        <v>21</v>
      </c>
    </row>
    <row r="1251" spans="1:13" x14ac:dyDescent="0.35">
      <c r="A1251" t="str">
        <f>"236-4972"</f>
        <v>236-4972</v>
      </c>
      <c r="B1251" t="s">
        <v>4839</v>
      </c>
      <c r="C1251" t="str">
        <f>"6354"</f>
        <v>6354</v>
      </c>
      <c r="E1251" t="s">
        <v>1278</v>
      </c>
      <c r="F1251" t="s">
        <v>24</v>
      </c>
      <c r="G1251" t="s">
        <v>4840</v>
      </c>
      <c r="H1251" t="s">
        <v>17</v>
      </c>
      <c r="I1251" t="s">
        <v>18</v>
      </c>
      <c r="J1251" t="str">
        <f>"4384010264"</f>
        <v>4384010264</v>
      </c>
      <c r="K1251" t="s">
        <v>4841</v>
      </c>
      <c r="L1251" t="s">
        <v>220</v>
      </c>
      <c r="M1251" t="s">
        <v>21</v>
      </c>
    </row>
    <row r="1252" spans="1:13" x14ac:dyDescent="0.35">
      <c r="A1252" t="str">
        <f>"236-5153"</f>
        <v>236-5153</v>
      </c>
      <c r="B1252" t="s">
        <v>4842</v>
      </c>
      <c r="C1252" t="str">
        <f>"5042"</f>
        <v>5042</v>
      </c>
      <c r="E1252" t="s">
        <v>3284</v>
      </c>
      <c r="F1252" t="s">
        <v>24</v>
      </c>
      <c r="G1252" t="s">
        <v>3285</v>
      </c>
      <c r="H1252" t="s">
        <v>17</v>
      </c>
      <c r="I1252" t="s">
        <v>18</v>
      </c>
      <c r="J1252" t="str">
        <f>"4383701269"</f>
        <v>4383701269</v>
      </c>
      <c r="K1252" t="s">
        <v>4843</v>
      </c>
      <c r="L1252" t="s">
        <v>198</v>
      </c>
      <c r="M1252" t="s">
        <v>21</v>
      </c>
    </row>
    <row r="1253" spans="1:13" x14ac:dyDescent="0.35">
      <c r="A1253" t="str">
        <f>"236-6107"</f>
        <v>236-6107</v>
      </c>
      <c r="B1253" t="s">
        <v>4844</v>
      </c>
      <c r="C1253" t="str">
        <f>"2120"</f>
        <v>2120</v>
      </c>
      <c r="D1253" t="str">
        <f>"523"</f>
        <v>523</v>
      </c>
      <c r="E1253" t="s">
        <v>609</v>
      </c>
      <c r="F1253" t="s">
        <v>24</v>
      </c>
      <c r="G1253" t="s">
        <v>4845</v>
      </c>
      <c r="H1253" t="s">
        <v>17</v>
      </c>
      <c r="I1253" t="s">
        <v>18</v>
      </c>
      <c r="J1253" t="str">
        <f>"5146638086"</f>
        <v>5146638086</v>
      </c>
      <c r="K1253" t="s">
        <v>4846</v>
      </c>
      <c r="L1253" t="s">
        <v>86</v>
      </c>
      <c r="M1253" t="s">
        <v>21</v>
      </c>
    </row>
    <row r="1254" spans="1:13" x14ac:dyDescent="0.35">
      <c r="A1254" t="str">
        <f>"236-6645"</f>
        <v>236-6645</v>
      </c>
      <c r="B1254" t="s">
        <v>4847</v>
      </c>
      <c r="C1254" t="str">
        <f>"5449"</f>
        <v>5449</v>
      </c>
      <c r="E1254" t="s">
        <v>4848</v>
      </c>
      <c r="F1254" t="s">
        <v>24</v>
      </c>
      <c r="G1254" t="s">
        <v>399</v>
      </c>
      <c r="H1254" t="s">
        <v>17</v>
      </c>
      <c r="I1254" t="s">
        <v>18</v>
      </c>
      <c r="J1254" t="str">
        <f>"4384102961"</f>
        <v>4384102961</v>
      </c>
      <c r="K1254" t="s">
        <v>4849</v>
      </c>
      <c r="L1254" t="s">
        <v>2316</v>
      </c>
      <c r="M1254" t="s">
        <v>21</v>
      </c>
    </row>
    <row r="1255" spans="1:13" x14ac:dyDescent="0.35">
      <c r="A1255" t="str">
        <f>"237-8232"</f>
        <v>237-8232</v>
      </c>
      <c r="B1255" t="s">
        <v>4850</v>
      </c>
      <c r="C1255" t="str">
        <f>"5550"</f>
        <v>5550</v>
      </c>
      <c r="E1255" t="s">
        <v>4851</v>
      </c>
      <c r="F1255" t="s">
        <v>24</v>
      </c>
      <c r="G1255" t="s">
        <v>4852</v>
      </c>
      <c r="H1255" t="s">
        <v>17</v>
      </c>
      <c r="I1255" t="s">
        <v>18</v>
      </c>
      <c r="J1255" t="str">
        <f>"5149848790"</f>
        <v>5149848790</v>
      </c>
      <c r="K1255" t="s">
        <v>4853</v>
      </c>
      <c r="L1255" t="s">
        <v>869</v>
      </c>
      <c r="M1255" t="s">
        <v>21</v>
      </c>
    </row>
    <row r="1256" spans="1:13" x14ac:dyDescent="0.35">
      <c r="A1256" t="str">
        <f>"238-8784"</f>
        <v>238-8784</v>
      </c>
      <c r="B1256" t="s">
        <v>4854</v>
      </c>
      <c r="C1256" t="str">
        <f>"178"</f>
        <v>178</v>
      </c>
      <c r="E1256" t="s">
        <v>4855</v>
      </c>
      <c r="F1256" t="s">
        <v>4856</v>
      </c>
      <c r="G1256" t="s">
        <v>4857</v>
      </c>
      <c r="H1256" t="s">
        <v>17</v>
      </c>
      <c r="I1256" t="s">
        <v>18</v>
      </c>
      <c r="J1256" t="str">
        <f>"8199512018"</f>
        <v>8199512018</v>
      </c>
      <c r="K1256" t="s">
        <v>4858</v>
      </c>
      <c r="L1256" t="s">
        <v>383</v>
      </c>
      <c r="M1256" t="s">
        <v>21</v>
      </c>
    </row>
    <row r="1257" spans="1:13" x14ac:dyDescent="0.35">
      <c r="A1257" t="str">
        <f>"238-9099"</f>
        <v>238-9099</v>
      </c>
      <c r="B1257" t="s">
        <v>4859</v>
      </c>
      <c r="C1257" t="str">
        <f>"7055"</f>
        <v>7055</v>
      </c>
      <c r="D1257" t="str">
        <f>"107"</f>
        <v>107</v>
      </c>
      <c r="E1257" t="s">
        <v>4860</v>
      </c>
      <c r="F1257" t="s">
        <v>24</v>
      </c>
      <c r="G1257" t="s">
        <v>4861</v>
      </c>
      <c r="H1257" t="s">
        <v>17</v>
      </c>
      <c r="I1257" t="s">
        <v>18</v>
      </c>
      <c r="J1257" t="str">
        <f>"4385298717"</f>
        <v>4385298717</v>
      </c>
      <c r="K1257" t="s">
        <v>4862</v>
      </c>
      <c r="L1257" t="s">
        <v>383</v>
      </c>
      <c r="M1257" t="s">
        <v>21</v>
      </c>
    </row>
    <row r="1258" spans="1:13" x14ac:dyDescent="0.35">
      <c r="A1258" t="str">
        <f>"006-4606"</f>
        <v>006-4606</v>
      </c>
      <c r="B1258" t="s">
        <v>4863</v>
      </c>
      <c r="C1258" t="str">
        <f>"6789"</f>
        <v>6789</v>
      </c>
      <c r="E1258" t="s">
        <v>2698</v>
      </c>
      <c r="F1258" t="s">
        <v>24</v>
      </c>
      <c r="G1258" t="s">
        <v>4864</v>
      </c>
      <c r="H1258" t="s">
        <v>17</v>
      </c>
      <c r="I1258" t="s">
        <v>18</v>
      </c>
      <c r="J1258" t="str">
        <f>"4389368266"</f>
        <v>4389368266</v>
      </c>
      <c r="K1258" t="s">
        <v>4865</v>
      </c>
      <c r="L1258" t="s">
        <v>20</v>
      </c>
      <c r="M1258" t="s">
        <v>21</v>
      </c>
    </row>
    <row r="1259" spans="1:13" x14ac:dyDescent="0.35">
      <c r="A1259" t="str">
        <f>"238-3383"</f>
        <v>238-3383</v>
      </c>
      <c r="B1259" t="s">
        <v>4866</v>
      </c>
      <c r="C1259" t="str">
        <f>"4278"</f>
        <v>4278</v>
      </c>
      <c r="D1259" t="str">
        <f>"2"</f>
        <v>2</v>
      </c>
      <c r="E1259" t="s">
        <v>4867</v>
      </c>
      <c r="F1259" t="s">
        <v>4868</v>
      </c>
      <c r="G1259" t="s">
        <v>4869</v>
      </c>
      <c r="H1259" t="s">
        <v>17</v>
      </c>
      <c r="I1259" t="s">
        <v>18</v>
      </c>
      <c r="J1259" t="str">
        <f>"4183134093"</f>
        <v>4183134093</v>
      </c>
      <c r="K1259" t="s">
        <v>4870</v>
      </c>
      <c r="L1259" t="s">
        <v>76</v>
      </c>
      <c r="M1259" t="s">
        <v>21</v>
      </c>
    </row>
    <row r="1260" spans="1:13" x14ac:dyDescent="0.35">
      <c r="A1260" t="str">
        <f>"238-3395"</f>
        <v>238-3395</v>
      </c>
      <c r="B1260" t="s">
        <v>4871</v>
      </c>
      <c r="C1260" t="str">
        <f>"382"</f>
        <v>382</v>
      </c>
      <c r="E1260" t="s">
        <v>4872</v>
      </c>
      <c r="F1260" t="s">
        <v>2262</v>
      </c>
      <c r="G1260" t="s">
        <v>4873</v>
      </c>
      <c r="H1260" t="s">
        <v>17</v>
      </c>
      <c r="I1260" t="s">
        <v>18</v>
      </c>
      <c r="J1260" t="str">
        <f>"4383779138"</f>
        <v>4383779138</v>
      </c>
      <c r="K1260" t="s">
        <v>4874</v>
      </c>
      <c r="L1260" t="s">
        <v>29</v>
      </c>
      <c r="M1260" t="s">
        <v>21</v>
      </c>
    </row>
    <row r="1261" spans="1:13" x14ac:dyDescent="0.35">
      <c r="A1261" t="str">
        <f>"238-3410"</f>
        <v>238-3410</v>
      </c>
      <c r="B1261" t="s">
        <v>4875</v>
      </c>
      <c r="C1261" t="str">
        <f>"10519"</f>
        <v>10519</v>
      </c>
      <c r="E1261" t="s">
        <v>1665</v>
      </c>
      <c r="F1261" t="s">
        <v>24</v>
      </c>
      <c r="G1261" t="s">
        <v>4876</v>
      </c>
      <c r="H1261" t="s">
        <v>17</v>
      </c>
      <c r="I1261" t="s">
        <v>18</v>
      </c>
      <c r="J1261" t="str">
        <f>"4388884498"</f>
        <v>4388884498</v>
      </c>
      <c r="K1261" t="s">
        <v>4877</v>
      </c>
      <c r="L1261" t="s">
        <v>313</v>
      </c>
      <c r="M1261" t="s">
        <v>21</v>
      </c>
    </row>
    <row r="1262" spans="1:13" x14ac:dyDescent="0.35">
      <c r="A1262" t="str">
        <f>"238-3769"</f>
        <v>238-3769</v>
      </c>
      <c r="B1262" t="s">
        <v>4878</v>
      </c>
      <c r="C1262" t="str">
        <f>"154"</f>
        <v>154</v>
      </c>
      <c r="E1262" t="s">
        <v>4879</v>
      </c>
      <c r="F1262" t="s">
        <v>4105</v>
      </c>
      <c r="G1262" t="s">
        <v>4880</v>
      </c>
      <c r="H1262" t="s">
        <v>17</v>
      </c>
      <c r="I1262" t="s">
        <v>18</v>
      </c>
      <c r="J1262" t="str">
        <f>"5142990914"</f>
        <v>5142990914</v>
      </c>
      <c r="K1262" t="s">
        <v>4881</v>
      </c>
      <c r="L1262" t="s">
        <v>313</v>
      </c>
      <c r="M1262" t="s">
        <v>21</v>
      </c>
    </row>
    <row r="1263" spans="1:13" x14ac:dyDescent="0.35">
      <c r="A1263" t="str">
        <f>"238-4036"</f>
        <v>238-4036</v>
      </c>
      <c r="B1263" t="s">
        <v>4882</v>
      </c>
      <c r="C1263" t="str">
        <f>"365"</f>
        <v>365</v>
      </c>
      <c r="D1263" t="str">
        <f>"209"</f>
        <v>209</v>
      </c>
      <c r="E1263" t="s">
        <v>4883</v>
      </c>
      <c r="F1263" t="s">
        <v>157</v>
      </c>
      <c r="G1263" t="s">
        <v>4884</v>
      </c>
      <c r="H1263" t="s">
        <v>17</v>
      </c>
      <c r="I1263" t="s">
        <v>18</v>
      </c>
      <c r="J1263" t="str">
        <f>"4385077697"</f>
        <v>4385077697</v>
      </c>
      <c r="K1263" t="s">
        <v>4885</v>
      </c>
      <c r="L1263" t="s">
        <v>869</v>
      </c>
      <c r="M1263" t="s">
        <v>21</v>
      </c>
    </row>
    <row r="1264" spans="1:13" x14ac:dyDescent="0.35">
      <c r="A1264" t="str">
        <f>"215-8030"</f>
        <v>215-8030</v>
      </c>
      <c r="B1264" t="s">
        <v>4886</v>
      </c>
      <c r="C1264" t="str">
        <f>"790"</f>
        <v>790</v>
      </c>
      <c r="E1264" t="s">
        <v>4887</v>
      </c>
      <c r="F1264" t="s">
        <v>3004</v>
      </c>
      <c r="G1264" t="s">
        <v>4888</v>
      </c>
      <c r="H1264" t="s">
        <v>17</v>
      </c>
      <c r="I1264" t="s">
        <v>18</v>
      </c>
      <c r="J1264" t="str">
        <f>"5145947054"</f>
        <v>5145947054</v>
      </c>
      <c r="K1264" t="s">
        <v>4889</v>
      </c>
      <c r="L1264" t="s">
        <v>29</v>
      </c>
      <c r="M1264" t="s">
        <v>21</v>
      </c>
    </row>
    <row r="1265" spans="1:13" x14ac:dyDescent="0.35">
      <c r="A1265" t="str">
        <f>"223-2575"</f>
        <v>223-2575</v>
      </c>
      <c r="B1265" t="s">
        <v>4890</v>
      </c>
      <c r="C1265" t="str">
        <f>"5530"</f>
        <v>5530</v>
      </c>
      <c r="E1265" t="s">
        <v>1854</v>
      </c>
      <c r="F1265" t="s">
        <v>24</v>
      </c>
      <c r="G1265" t="s">
        <v>4891</v>
      </c>
      <c r="H1265" t="s">
        <v>17</v>
      </c>
      <c r="I1265" t="s">
        <v>18</v>
      </c>
      <c r="J1265" t="str">
        <f>"5149913844"</f>
        <v>5149913844</v>
      </c>
      <c r="K1265" t="s">
        <v>4892</v>
      </c>
      <c r="L1265" t="s">
        <v>396</v>
      </c>
      <c r="M1265" t="s">
        <v>21</v>
      </c>
    </row>
    <row r="1266" spans="1:13" x14ac:dyDescent="0.35">
      <c r="A1266" t="str">
        <f>"239-1181"</f>
        <v>239-1181</v>
      </c>
      <c r="B1266" t="s">
        <v>4893</v>
      </c>
      <c r="C1266" t="str">
        <f>"5745"</f>
        <v>5745</v>
      </c>
      <c r="D1266" t="str">
        <f>"1"</f>
        <v>1</v>
      </c>
      <c r="E1266" t="s">
        <v>603</v>
      </c>
      <c r="F1266" t="s">
        <v>24</v>
      </c>
      <c r="G1266" t="s">
        <v>4894</v>
      </c>
      <c r="H1266" t="s">
        <v>17</v>
      </c>
      <c r="I1266" t="s">
        <v>18</v>
      </c>
      <c r="J1266" t="str">
        <f>"4385275209"</f>
        <v>4385275209</v>
      </c>
      <c r="K1266" t="s">
        <v>4895</v>
      </c>
      <c r="L1266" t="s">
        <v>383</v>
      </c>
      <c r="M1266" t="s">
        <v>21</v>
      </c>
    </row>
    <row r="1267" spans="1:13" x14ac:dyDescent="0.35">
      <c r="A1267" t="str">
        <f>"239-1641"</f>
        <v>239-1641</v>
      </c>
      <c r="B1267" t="s">
        <v>4896</v>
      </c>
      <c r="C1267" t="str">
        <f>"8740"</f>
        <v>8740</v>
      </c>
      <c r="D1267" t="str">
        <f>"102"</f>
        <v>102</v>
      </c>
      <c r="E1267" t="s">
        <v>200</v>
      </c>
      <c r="F1267" t="s">
        <v>24</v>
      </c>
      <c r="G1267" t="s">
        <v>4897</v>
      </c>
      <c r="H1267" t="s">
        <v>17</v>
      </c>
      <c r="I1267" t="s">
        <v>18</v>
      </c>
      <c r="J1267" t="str">
        <f>"4385089855"</f>
        <v>4385089855</v>
      </c>
      <c r="K1267" t="s">
        <v>4898</v>
      </c>
      <c r="L1267" t="s">
        <v>350</v>
      </c>
      <c r="M1267" t="s">
        <v>21</v>
      </c>
    </row>
    <row r="1268" spans="1:13" x14ac:dyDescent="0.35">
      <c r="A1268" t="str">
        <f>"239-1725"</f>
        <v>239-1725</v>
      </c>
      <c r="B1268" t="s">
        <v>4899</v>
      </c>
      <c r="C1268" t="str">
        <f>"8100"</f>
        <v>8100</v>
      </c>
      <c r="E1268" t="s">
        <v>4900</v>
      </c>
      <c r="F1268" t="s">
        <v>40</v>
      </c>
      <c r="G1268" t="s">
        <v>4901</v>
      </c>
      <c r="H1268" t="s">
        <v>17</v>
      </c>
      <c r="I1268" t="s">
        <v>18</v>
      </c>
      <c r="J1268" t="str">
        <f>"5146912903"</f>
        <v>5146912903</v>
      </c>
      <c r="K1268" t="s">
        <v>4902</v>
      </c>
      <c r="L1268" t="s">
        <v>396</v>
      </c>
      <c r="M1268" t="s">
        <v>21</v>
      </c>
    </row>
    <row r="1269" spans="1:13" x14ac:dyDescent="0.35">
      <c r="A1269" t="str">
        <f>"239-1879"</f>
        <v>239-1879</v>
      </c>
      <c r="B1269" t="s">
        <v>4903</v>
      </c>
      <c r="C1269" t="str">
        <f>"1038"</f>
        <v>1038</v>
      </c>
      <c r="E1269" t="s">
        <v>1705</v>
      </c>
      <c r="F1269" t="s">
        <v>24</v>
      </c>
      <c r="G1269" t="s">
        <v>4904</v>
      </c>
      <c r="H1269" t="s">
        <v>17</v>
      </c>
      <c r="I1269" t="s">
        <v>18</v>
      </c>
      <c r="J1269" t="str">
        <f>"4382332811"</f>
        <v>4382332811</v>
      </c>
      <c r="K1269" t="s">
        <v>4905</v>
      </c>
      <c r="L1269" t="s">
        <v>29</v>
      </c>
      <c r="M1269" t="s">
        <v>21</v>
      </c>
    </row>
    <row r="1270" spans="1:13" x14ac:dyDescent="0.35">
      <c r="A1270" t="str">
        <f>"622-1509"</f>
        <v>622-1509</v>
      </c>
      <c r="B1270" t="s">
        <v>4906</v>
      </c>
      <c r="C1270" t="str">
        <f>"12435"</f>
        <v>12435</v>
      </c>
      <c r="E1270" t="s">
        <v>4907</v>
      </c>
      <c r="F1270" t="s">
        <v>24</v>
      </c>
      <c r="G1270" t="s">
        <v>4908</v>
      </c>
      <c r="H1270" t="s">
        <v>17</v>
      </c>
      <c r="I1270" t="s">
        <v>18</v>
      </c>
      <c r="J1270" t="str">
        <f>"5147960382"</f>
        <v>5147960382</v>
      </c>
      <c r="K1270" t="s">
        <v>4909</v>
      </c>
      <c r="L1270" t="s">
        <v>76</v>
      </c>
      <c r="M1270" t="s">
        <v>21</v>
      </c>
    </row>
    <row r="1271" spans="1:13" x14ac:dyDescent="0.35">
      <c r="A1271" t="str">
        <f>"622-1610"</f>
        <v>622-1610</v>
      </c>
      <c r="B1271" t="s">
        <v>4910</v>
      </c>
      <c r="C1271" t="str">
        <f>"7660"</f>
        <v>7660</v>
      </c>
      <c r="E1271" t="s">
        <v>4911</v>
      </c>
      <c r="F1271" t="s">
        <v>24</v>
      </c>
      <c r="G1271" t="s">
        <v>4912</v>
      </c>
      <c r="H1271" t="s">
        <v>17</v>
      </c>
      <c r="I1271" t="s">
        <v>18</v>
      </c>
      <c r="J1271" t="str">
        <f>"4384627370"</f>
        <v>4384627370</v>
      </c>
      <c r="K1271" t="s">
        <v>4913</v>
      </c>
      <c r="L1271" t="s">
        <v>396</v>
      </c>
      <c r="M1271" t="s">
        <v>21</v>
      </c>
    </row>
    <row r="1272" spans="1:13" x14ac:dyDescent="0.35">
      <c r="A1272" t="str">
        <f>"622-1803"</f>
        <v>622-1803</v>
      </c>
      <c r="B1272" t="s">
        <v>4914</v>
      </c>
      <c r="C1272" t="str">
        <f>"8674"</f>
        <v>8674</v>
      </c>
      <c r="E1272" t="s">
        <v>4915</v>
      </c>
      <c r="F1272" t="s">
        <v>24</v>
      </c>
      <c r="G1272" t="s">
        <v>4916</v>
      </c>
      <c r="H1272" t="s">
        <v>17</v>
      </c>
      <c r="I1272" t="s">
        <v>18</v>
      </c>
      <c r="J1272" t="str">
        <f>"5148176168"</f>
        <v>5148176168</v>
      </c>
      <c r="K1272" t="s">
        <v>4917</v>
      </c>
      <c r="L1272" t="s">
        <v>20</v>
      </c>
      <c r="M1272" t="s">
        <v>21</v>
      </c>
    </row>
    <row r="1273" spans="1:13" x14ac:dyDescent="0.35">
      <c r="A1273" t="str">
        <f>"622-1954"</f>
        <v>622-1954</v>
      </c>
      <c r="B1273" t="s">
        <v>4918</v>
      </c>
      <c r="C1273" t="str">
        <f>"4606"</f>
        <v>4606</v>
      </c>
      <c r="E1273" t="s">
        <v>3857</v>
      </c>
      <c r="F1273" t="s">
        <v>24</v>
      </c>
      <c r="G1273" t="s">
        <v>4919</v>
      </c>
      <c r="H1273" t="s">
        <v>17</v>
      </c>
      <c r="I1273" t="s">
        <v>18</v>
      </c>
      <c r="J1273" t="str">
        <f>"4387638160"</f>
        <v>4387638160</v>
      </c>
      <c r="K1273" t="s">
        <v>4920</v>
      </c>
      <c r="L1273" t="s">
        <v>869</v>
      </c>
      <c r="M1273" t="s">
        <v>21</v>
      </c>
    </row>
    <row r="1274" spans="1:13" x14ac:dyDescent="0.35">
      <c r="A1274" t="str">
        <f>"622-2102"</f>
        <v>622-2102</v>
      </c>
      <c r="B1274" t="s">
        <v>4921</v>
      </c>
      <c r="C1274" t="str">
        <f>"184 "</f>
        <v xml:space="preserve">184 </v>
      </c>
      <c r="E1274" t="s">
        <v>4922</v>
      </c>
      <c r="F1274" t="s">
        <v>2533</v>
      </c>
      <c r="G1274" t="s">
        <v>4923</v>
      </c>
      <c r="H1274" t="s">
        <v>17</v>
      </c>
      <c r="I1274" t="s">
        <v>18</v>
      </c>
      <c r="J1274" t="str">
        <f>"4383933219"</f>
        <v>4383933219</v>
      </c>
      <c r="K1274" t="s">
        <v>4924</v>
      </c>
      <c r="L1274" t="s">
        <v>383</v>
      </c>
      <c r="M1274" t="s">
        <v>21</v>
      </c>
    </row>
    <row r="1275" spans="1:13" x14ac:dyDescent="0.35">
      <c r="A1275" t="str">
        <f>"622-2168"</f>
        <v>622-2168</v>
      </c>
      <c r="B1275" t="s">
        <v>4925</v>
      </c>
      <c r="C1275" t="str">
        <f>"701"</f>
        <v>701</v>
      </c>
      <c r="D1275" t="str">
        <f>"2"</f>
        <v>2</v>
      </c>
      <c r="E1275" t="s">
        <v>2687</v>
      </c>
      <c r="F1275" t="s">
        <v>24</v>
      </c>
      <c r="G1275" t="s">
        <v>4926</v>
      </c>
      <c r="H1275" t="s">
        <v>17</v>
      </c>
      <c r="I1275" t="s">
        <v>18</v>
      </c>
      <c r="J1275" t="str">
        <f>"4388814235"</f>
        <v>4388814235</v>
      </c>
      <c r="K1275" t="s">
        <v>4927</v>
      </c>
      <c r="L1275" t="s">
        <v>168</v>
      </c>
      <c r="M1275" t="s">
        <v>21</v>
      </c>
    </row>
    <row r="1276" spans="1:13" x14ac:dyDescent="0.35">
      <c r="A1276" t="str">
        <f>"622-5523"</f>
        <v>622-5523</v>
      </c>
      <c r="B1276" t="s">
        <v>4928</v>
      </c>
      <c r="C1276" t="str">
        <f>"4700"</f>
        <v>4700</v>
      </c>
      <c r="D1276" t="str">
        <f>"202"</f>
        <v>202</v>
      </c>
      <c r="E1276" t="s">
        <v>28</v>
      </c>
      <c r="F1276" t="s">
        <v>24</v>
      </c>
      <c r="G1276" t="s">
        <v>4929</v>
      </c>
      <c r="H1276" t="s">
        <v>17</v>
      </c>
      <c r="I1276" t="s">
        <v>18</v>
      </c>
      <c r="J1276" t="str">
        <f>"4385010360"</f>
        <v>4385010360</v>
      </c>
      <c r="K1276" t="s">
        <v>4930</v>
      </c>
      <c r="L1276" t="s">
        <v>869</v>
      </c>
      <c r="M1276" t="s">
        <v>21</v>
      </c>
    </row>
    <row r="1277" spans="1:13" x14ac:dyDescent="0.35">
      <c r="A1277" t="str">
        <f>"622-6007"</f>
        <v>622-6007</v>
      </c>
      <c r="B1277" t="s">
        <v>4931</v>
      </c>
      <c r="C1277" t="str">
        <f>"3454"</f>
        <v>3454</v>
      </c>
      <c r="E1277" t="s">
        <v>1832</v>
      </c>
      <c r="F1277" t="s">
        <v>24</v>
      </c>
      <c r="G1277" t="s">
        <v>4932</v>
      </c>
      <c r="H1277" t="s">
        <v>17</v>
      </c>
      <c r="I1277" t="s">
        <v>18</v>
      </c>
      <c r="J1277" t="str">
        <f>"4384082463"</f>
        <v>4384082463</v>
      </c>
      <c r="K1277" t="s">
        <v>4933</v>
      </c>
      <c r="L1277" t="s">
        <v>383</v>
      </c>
      <c r="M1277" t="s">
        <v>21</v>
      </c>
    </row>
    <row r="1278" spans="1:13" x14ac:dyDescent="0.35">
      <c r="A1278" t="str">
        <f>"623-5216"</f>
        <v>623-5216</v>
      </c>
      <c r="B1278" t="s">
        <v>4934</v>
      </c>
      <c r="C1278" t="str">
        <f>"1500"</f>
        <v>1500</v>
      </c>
      <c r="E1278" t="s">
        <v>1535</v>
      </c>
      <c r="F1278" t="s">
        <v>24</v>
      </c>
      <c r="G1278" t="s">
        <v>1536</v>
      </c>
      <c r="H1278" t="s">
        <v>17</v>
      </c>
      <c r="I1278" t="s">
        <v>18</v>
      </c>
      <c r="J1278" t="str">
        <f>"4385046063"</f>
        <v>4385046063</v>
      </c>
      <c r="K1278" t="s">
        <v>4935</v>
      </c>
      <c r="L1278" t="s">
        <v>466</v>
      </c>
      <c r="M1278" t="s">
        <v>21</v>
      </c>
    </row>
    <row r="1279" spans="1:13" x14ac:dyDescent="0.35">
      <c r="A1279" t="str">
        <f>"623-5240"</f>
        <v>623-5240</v>
      </c>
      <c r="B1279" t="s">
        <v>4936</v>
      </c>
      <c r="C1279" t="str">
        <f>"5457"</f>
        <v>5457</v>
      </c>
      <c r="E1279" t="s">
        <v>2053</v>
      </c>
      <c r="F1279" t="s">
        <v>24</v>
      </c>
      <c r="G1279" t="s">
        <v>2054</v>
      </c>
      <c r="H1279" t="s">
        <v>17</v>
      </c>
      <c r="I1279" t="s">
        <v>18</v>
      </c>
      <c r="J1279" t="str">
        <f>"4385186644"</f>
        <v>4385186644</v>
      </c>
      <c r="K1279" t="s">
        <v>4937</v>
      </c>
      <c r="L1279" t="s">
        <v>396</v>
      </c>
      <c r="M1279" t="s">
        <v>21</v>
      </c>
    </row>
    <row r="1280" spans="1:13" x14ac:dyDescent="0.35">
      <c r="A1280" t="str">
        <f>"623-5552"</f>
        <v>623-5552</v>
      </c>
      <c r="B1280" t="s">
        <v>4938</v>
      </c>
      <c r="C1280" t="str">
        <f>"7350"</f>
        <v>7350</v>
      </c>
      <c r="E1280" t="s">
        <v>4939</v>
      </c>
      <c r="F1280" t="s">
        <v>24</v>
      </c>
      <c r="G1280" t="s">
        <v>4940</v>
      </c>
      <c r="H1280" t="s">
        <v>17</v>
      </c>
      <c r="I1280" t="s">
        <v>18</v>
      </c>
      <c r="J1280" t="str">
        <f>"5145013640"</f>
        <v>5145013640</v>
      </c>
      <c r="K1280" t="s">
        <v>4941</v>
      </c>
      <c r="L1280" t="s">
        <v>396</v>
      </c>
      <c r="M1280" t="s">
        <v>21</v>
      </c>
    </row>
    <row r="1281" spans="1:13" x14ac:dyDescent="0.35">
      <c r="A1281" t="str">
        <f>"623-6104"</f>
        <v>623-6104</v>
      </c>
      <c r="B1281" t="s">
        <v>4942</v>
      </c>
      <c r="C1281" t="str">
        <f>"5065"</f>
        <v>5065</v>
      </c>
      <c r="E1281" t="s">
        <v>4943</v>
      </c>
      <c r="F1281" t="s">
        <v>24</v>
      </c>
      <c r="G1281" t="s">
        <v>4944</v>
      </c>
      <c r="H1281" t="s">
        <v>17</v>
      </c>
      <c r="I1281" t="s">
        <v>18</v>
      </c>
      <c r="J1281" t="str">
        <f>"5149163851"</f>
        <v>5149163851</v>
      </c>
      <c r="K1281" t="s">
        <v>4945</v>
      </c>
      <c r="L1281" t="s">
        <v>396</v>
      </c>
      <c r="M1281" t="s">
        <v>21</v>
      </c>
    </row>
    <row r="1282" spans="1:13" x14ac:dyDescent="0.35">
      <c r="A1282" t="str">
        <f>"623-9216"</f>
        <v>623-9216</v>
      </c>
      <c r="B1282" t="s">
        <v>4947</v>
      </c>
      <c r="C1282" t="str">
        <f>"5692"</f>
        <v>5692</v>
      </c>
      <c r="E1282" t="s">
        <v>785</v>
      </c>
      <c r="F1282" t="s">
        <v>24</v>
      </c>
      <c r="G1282" t="s">
        <v>4948</v>
      </c>
      <c r="H1282" t="s">
        <v>17</v>
      </c>
      <c r="I1282" t="s">
        <v>18</v>
      </c>
      <c r="J1282" t="str">
        <f>"5146685095"</f>
        <v>5146685095</v>
      </c>
      <c r="K1282" t="s">
        <v>4949</v>
      </c>
      <c r="L1282" t="s">
        <v>27</v>
      </c>
      <c r="M1282" t="s">
        <v>21</v>
      </c>
    </row>
    <row r="1283" spans="1:13" x14ac:dyDescent="0.35">
      <c r="A1283" t="str">
        <f>"623-9457"</f>
        <v>623-9457</v>
      </c>
      <c r="B1283" t="s">
        <v>4950</v>
      </c>
      <c r="C1283" t="str">
        <f>"380"</f>
        <v>380</v>
      </c>
      <c r="E1283" t="s">
        <v>2081</v>
      </c>
      <c r="F1283" t="s">
        <v>24</v>
      </c>
      <c r="G1283" t="s">
        <v>4951</v>
      </c>
      <c r="H1283" t="s">
        <v>17</v>
      </c>
      <c r="I1283" t="s">
        <v>18</v>
      </c>
      <c r="J1283" t="str">
        <f>"4388730291"</f>
        <v>4388730291</v>
      </c>
      <c r="K1283" t="s">
        <v>4952</v>
      </c>
      <c r="L1283" t="s">
        <v>86</v>
      </c>
      <c r="M1283" t="s">
        <v>21</v>
      </c>
    </row>
    <row r="1284" spans="1:13" x14ac:dyDescent="0.35">
      <c r="A1284" t="str">
        <f>"166-8249"</f>
        <v>166-8249</v>
      </c>
      <c r="B1284" t="s">
        <v>4953</v>
      </c>
      <c r="C1284" t="str">
        <f>"1825"</f>
        <v>1825</v>
      </c>
      <c r="E1284" t="s">
        <v>4954</v>
      </c>
      <c r="F1284" t="s">
        <v>24</v>
      </c>
      <c r="G1284" t="s">
        <v>4955</v>
      </c>
      <c r="H1284" t="s">
        <v>17</v>
      </c>
      <c r="I1284" t="s">
        <v>18</v>
      </c>
      <c r="J1284" t="str">
        <f>"5146990690"</f>
        <v>5146990690</v>
      </c>
      <c r="K1284" t="s">
        <v>4956</v>
      </c>
      <c r="L1284" t="s">
        <v>20</v>
      </c>
      <c r="M1284" t="s">
        <v>21</v>
      </c>
    </row>
    <row r="1285" spans="1:13" x14ac:dyDescent="0.35">
      <c r="A1285" t="str">
        <f>"167-1464"</f>
        <v>167-1464</v>
      </c>
      <c r="B1285" t="s">
        <v>4957</v>
      </c>
      <c r="C1285" t="str">
        <f>"89"</f>
        <v>89</v>
      </c>
      <c r="E1285" t="s">
        <v>4958</v>
      </c>
      <c r="F1285" t="s">
        <v>4959</v>
      </c>
      <c r="G1285" t="s">
        <v>4960</v>
      </c>
      <c r="H1285" t="s">
        <v>17</v>
      </c>
      <c r="I1285" t="s">
        <v>18</v>
      </c>
      <c r="J1285" t="str">
        <f>"8198062476"</f>
        <v>8198062476</v>
      </c>
      <c r="K1285" t="s">
        <v>4961</v>
      </c>
      <c r="L1285" t="s">
        <v>20</v>
      </c>
      <c r="M1285" t="s">
        <v>21</v>
      </c>
    </row>
    <row r="1286" spans="1:13" x14ac:dyDescent="0.35">
      <c r="A1286" t="str">
        <f>"186-2164"</f>
        <v>186-2164</v>
      </c>
      <c r="B1286" t="s">
        <v>4962</v>
      </c>
      <c r="C1286" t="str">
        <f>"525"</f>
        <v>525</v>
      </c>
      <c r="D1286" t="str">
        <f>"06"</f>
        <v>06</v>
      </c>
      <c r="E1286" t="s">
        <v>2209</v>
      </c>
      <c r="F1286" t="s">
        <v>24</v>
      </c>
      <c r="G1286" t="s">
        <v>4963</v>
      </c>
      <c r="H1286" t="s">
        <v>17</v>
      </c>
      <c r="I1286" t="s">
        <v>18</v>
      </c>
      <c r="J1286" t="str">
        <f>"4389956956"</f>
        <v>4389956956</v>
      </c>
      <c r="K1286" t="s">
        <v>4964</v>
      </c>
      <c r="L1286" t="s">
        <v>27</v>
      </c>
      <c r="M1286" t="s">
        <v>21</v>
      </c>
    </row>
    <row r="1287" spans="1:13" x14ac:dyDescent="0.35">
      <c r="A1287" t="str">
        <f>"186-3052"</f>
        <v>186-3052</v>
      </c>
      <c r="B1287" t="s">
        <v>4965</v>
      </c>
      <c r="C1287" t="str">
        <f>"646"</f>
        <v>646</v>
      </c>
      <c r="E1287" t="s">
        <v>4966</v>
      </c>
      <c r="F1287" t="s">
        <v>143</v>
      </c>
      <c r="G1287" t="s">
        <v>4967</v>
      </c>
      <c r="H1287" t="s">
        <v>17</v>
      </c>
      <c r="I1287" t="s">
        <v>18</v>
      </c>
      <c r="J1287" t="str">
        <f>"4383991093"</f>
        <v>4383991093</v>
      </c>
      <c r="K1287" t="s">
        <v>4968</v>
      </c>
      <c r="L1287" t="s">
        <v>39</v>
      </c>
      <c r="M1287" t="s">
        <v>21</v>
      </c>
    </row>
    <row r="1288" spans="1:13" x14ac:dyDescent="0.35">
      <c r="A1288" t="str">
        <f>"193-0208"</f>
        <v>193-0208</v>
      </c>
      <c r="B1288" t="s">
        <v>4969</v>
      </c>
      <c r="C1288" t="str">
        <f>"1980"</f>
        <v>1980</v>
      </c>
      <c r="E1288" t="s">
        <v>4970</v>
      </c>
      <c r="F1288" t="s">
        <v>32</v>
      </c>
      <c r="G1288" t="s">
        <v>4971</v>
      </c>
      <c r="H1288" t="s">
        <v>17</v>
      </c>
      <c r="I1288" t="s">
        <v>18</v>
      </c>
      <c r="J1288" t="str">
        <f>"4383941640"</f>
        <v>4383941640</v>
      </c>
      <c r="K1288" t="s">
        <v>4972</v>
      </c>
      <c r="L1288" t="s">
        <v>27</v>
      </c>
      <c r="M1288" t="s">
        <v>21</v>
      </c>
    </row>
    <row r="1289" spans="1:13" x14ac:dyDescent="0.35">
      <c r="A1289" t="str">
        <f>"193-9094"</f>
        <v>193-9094</v>
      </c>
      <c r="B1289" t="s">
        <v>4973</v>
      </c>
      <c r="C1289" t="str">
        <f>"884"</f>
        <v>884</v>
      </c>
      <c r="E1289" t="s">
        <v>4974</v>
      </c>
      <c r="F1289" t="s">
        <v>4975</v>
      </c>
      <c r="G1289" t="s">
        <v>4976</v>
      </c>
      <c r="H1289" t="s">
        <v>17</v>
      </c>
      <c r="I1289" t="s">
        <v>18</v>
      </c>
      <c r="J1289" t="str">
        <f>"4507504394"</f>
        <v>4507504394</v>
      </c>
      <c r="K1289" t="s">
        <v>4977</v>
      </c>
      <c r="L1289" t="s">
        <v>29</v>
      </c>
      <c r="M1289" t="s">
        <v>21</v>
      </c>
    </row>
    <row r="1290" spans="1:13" x14ac:dyDescent="0.35">
      <c r="A1290" t="str">
        <f>"203-2159"</f>
        <v>203-2159</v>
      </c>
      <c r="B1290" t="s">
        <v>4978</v>
      </c>
      <c r="C1290" t="str">
        <f>"229"</f>
        <v>229</v>
      </c>
      <c r="E1290" t="s">
        <v>4979</v>
      </c>
      <c r="F1290" t="s">
        <v>2739</v>
      </c>
      <c r="G1290" t="s">
        <v>2740</v>
      </c>
      <c r="H1290" t="s">
        <v>17</v>
      </c>
      <c r="I1290" t="s">
        <v>18</v>
      </c>
      <c r="J1290" t="str">
        <f>"5148808126"</f>
        <v>5148808126</v>
      </c>
      <c r="K1290" t="s">
        <v>4980</v>
      </c>
      <c r="L1290" t="s">
        <v>20</v>
      </c>
      <c r="M1290" t="s">
        <v>21</v>
      </c>
    </row>
    <row r="1291" spans="1:13" x14ac:dyDescent="0.35">
      <c r="A1291" t="str">
        <f>"203-5951"</f>
        <v>203-5951</v>
      </c>
      <c r="B1291" t="s">
        <v>4981</v>
      </c>
      <c r="C1291" t="str">
        <f>"261"</f>
        <v>261</v>
      </c>
      <c r="E1291" t="s">
        <v>4982</v>
      </c>
      <c r="F1291" t="s">
        <v>32</v>
      </c>
      <c r="G1291" t="s">
        <v>4983</v>
      </c>
      <c r="H1291" t="s">
        <v>17</v>
      </c>
      <c r="I1291" t="s">
        <v>18</v>
      </c>
      <c r="J1291" t="str">
        <f>"4383894569"</f>
        <v>4383894569</v>
      </c>
      <c r="K1291" t="s">
        <v>4984</v>
      </c>
      <c r="L1291" t="s">
        <v>39</v>
      </c>
      <c r="M1291" t="s">
        <v>21</v>
      </c>
    </row>
    <row r="1292" spans="1:13" x14ac:dyDescent="0.35">
      <c r="A1292" t="str">
        <f>"203-8364"</f>
        <v>203-8364</v>
      </c>
      <c r="B1292" t="s">
        <v>4985</v>
      </c>
      <c r="C1292" t="str">
        <f>"116"</f>
        <v>116</v>
      </c>
      <c r="E1292" t="s">
        <v>4986</v>
      </c>
      <c r="F1292" t="s">
        <v>54</v>
      </c>
      <c r="G1292" t="s">
        <v>4987</v>
      </c>
      <c r="H1292" t="s">
        <v>17</v>
      </c>
      <c r="I1292" t="s">
        <v>18</v>
      </c>
      <c r="J1292" t="str">
        <f>"5145690019"</f>
        <v>5145690019</v>
      </c>
      <c r="K1292" t="s">
        <v>4988</v>
      </c>
      <c r="L1292" t="s">
        <v>319</v>
      </c>
      <c r="M1292" t="s">
        <v>21</v>
      </c>
    </row>
    <row r="1293" spans="1:13" x14ac:dyDescent="0.35">
      <c r="A1293" t="str">
        <f>"214-7737"</f>
        <v>214-7737</v>
      </c>
      <c r="B1293" t="s">
        <v>4989</v>
      </c>
      <c r="C1293" t="str">
        <f>"3661"</f>
        <v>3661</v>
      </c>
      <c r="E1293" t="s">
        <v>4990</v>
      </c>
      <c r="F1293" t="s">
        <v>143</v>
      </c>
      <c r="G1293" t="s">
        <v>4991</v>
      </c>
      <c r="H1293" t="s">
        <v>17</v>
      </c>
      <c r="I1293" t="s">
        <v>18</v>
      </c>
      <c r="J1293" t="str">
        <f>"4385043810"</f>
        <v>4385043810</v>
      </c>
      <c r="K1293" t="s">
        <v>4992</v>
      </c>
      <c r="L1293" t="s">
        <v>39</v>
      </c>
      <c r="M1293" t="s">
        <v>21</v>
      </c>
    </row>
    <row r="1294" spans="1:13" x14ac:dyDescent="0.35">
      <c r="A1294" t="str">
        <f>"222-5932"</f>
        <v>222-5932</v>
      </c>
      <c r="B1294" t="s">
        <v>4993</v>
      </c>
      <c r="C1294" t="str">
        <f>"5561"</f>
        <v>5561</v>
      </c>
      <c r="E1294" t="s">
        <v>1595</v>
      </c>
      <c r="F1294" t="s">
        <v>24</v>
      </c>
      <c r="G1294" t="s">
        <v>4994</v>
      </c>
      <c r="H1294" t="s">
        <v>17</v>
      </c>
      <c r="I1294" t="s">
        <v>18</v>
      </c>
      <c r="J1294" t="str">
        <f>"8192189127"</f>
        <v>8192189127</v>
      </c>
      <c r="K1294" t="s">
        <v>4995</v>
      </c>
      <c r="L1294" t="s">
        <v>29</v>
      </c>
      <c r="M1294" t="s">
        <v>21</v>
      </c>
    </row>
    <row r="1295" spans="1:13" x14ac:dyDescent="0.35">
      <c r="A1295" t="str">
        <f>"623-4822"</f>
        <v>623-4822</v>
      </c>
      <c r="B1295" t="s">
        <v>4996</v>
      </c>
      <c r="C1295" t="str">
        <f>"9232"</f>
        <v>9232</v>
      </c>
      <c r="E1295" t="s">
        <v>485</v>
      </c>
      <c r="F1295" t="s">
        <v>24</v>
      </c>
      <c r="G1295" t="s">
        <v>486</v>
      </c>
      <c r="H1295" t="s">
        <v>17</v>
      </c>
      <c r="I1295" t="s">
        <v>18</v>
      </c>
      <c r="J1295" t="str">
        <f>"5142407717"</f>
        <v>5142407717</v>
      </c>
      <c r="K1295" t="s">
        <v>4997</v>
      </c>
      <c r="L1295" t="s">
        <v>220</v>
      </c>
      <c r="M1295" t="s">
        <v>21</v>
      </c>
    </row>
    <row r="1296" spans="1:13" x14ac:dyDescent="0.35">
      <c r="A1296" t="str">
        <f>"623-4972"</f>
        <v>623-4972</v>
      </c>
      <c r="B1296" t="s">
        <v>4998</v>
      </c>
      <c r="C1296" t="str">
        <f>"30"</f>
        <v>30</v>
      </c>
      <c r="E1296" t="s">
        <v>4999</v>
      </c>
      <c r="F1296" t="s">
        <v>157</v>
      </c>
      <c r="G1296" t="s">
        <v>5000</v>
      </c>
      <c r="H1296" t="s">
        <v>17</v>
      </c>
      <c r="I1296" t="s">
        <v>18</v>
      </c>
      <c r="J1296" t="str">
        <f>"5144438829"</f>
        <v>5144438829</v>
      </c>
      <c r="K1296" t="s">
        <v>5001</v>
      </c>
      <c r="L1296" t="s">
        <v>350</v>
      </c>
      <c r="M1296" t="s">
        <v>21</v>
      </c>
    </row>
    <row r="1297" spans="1:13" x14ac:dyDescent="0.35">
      <c r="A1297" t="str">
        <f>"623-5235"</f>
        <v>623-5235</v>
      </c>
      <c r="B1297" t="s">
        <v>5002</v>
      </c>
      <c r="C1297" t="str">
        <f>"4226"</f>
        <v>4226</v>
      </c>
      <c r="E1297" t="s">
        <v>789</v>
      </c>
      <c r="F1297" t="s">
        <v>24</v>
      </c>
      <c r="G1297" t="s">
        <v>790</v>
      </c>
      <c r="H1297" t="s">
        <v>17</v>
      </c>
      <c r="I1297" t="s">
        <v>18</v>
      </c>
      <c r="J1297" t="str">
        <f>"5146518411"</f>
        <v>5146518411</v>
      </c>
      <c r="K1297" t="s">
        <v>5003</v>
      </c>
      <c r="L1297" t="s">
        <v>534</v>
      </c>
      <c r="M1297" t="s">
        <v>21</v>
      </c>
    </row>
    <row r="1298" spans="1:13" x14ac:dyDescent="0.35">
      <c r="A1298" t="str">
        <f>"623-7587"</f>
        <v>623-7587</v>
      </c>
      <c r="B1298" t="s">
        <v>5004</v>
      </c>
      <c r="C1298" t="str">
        <f>"6725"</f>
        <v>6725</v>
      </c>
      <c r="E1298" t="s">
        <v>1235</v>
      </c>
      <c r="F1298" t="s">
        <v>24</v>
      </c>
      <c r="G1298" t="s">
        <v>5005</v>
      </c>
      <c r="H1298" t="s">
        <v>17</v>
      </c>
      <c r="I1298" t="s">
        <v>18</v>
      </c>
      <c r="J1298" t="str">
        <f>"4385086268"</f>
        <v>4385086268</v>
      </c>
      <c r="K1298" t="s">
        <v>5006</v>
      </c>
      <c r="L1298" t="s">
        <v>869</v>
      </c>
      <c r="M1298" t="s">
        <v>21</v>
      </c>
    </row>
    <row r="1299" spans="1:13" x14ac:dyDescent="0.35">
      <c r="A1299" t="str">
        <f>"623-7769"</f>
        <v>623-7769</v>
      </c>
      <c r="B1299" t="s">
        <v>5007</v>
      </c>
      <c r="C1299" t="str">
        <f>"1888"</f>
        <v>1888</v>
      </c>
      <c r="E1299" t="s">
        <v>5008</v>
      </c>
      <c r="F1299" t="s">
        <v>4239</v>
      </c>
      <c r="G1299" t="s">
        <v>5009</v>
      </c>
      <c r="H1299" t="s">
        <v>17</v>
      </c>
      <c r="I1299" t="s">
        <v>18</v>
      </c>
      <c r="J1299" t="str">
        <f>"4387221245"</f>
        <v>4387221245</v>
      </c>
      <c r="K1299" t="s">
        <v>5010</v>
      </c>
      <c r="L1299" t="s">
        <v>29</v>
      </c>
      <c r="M1299" t="s">
        <v>21</v>
      </c>
    </row>
    <row r="1300" spans="1:13" x14ac:dyDescent="0.35">
      <c r="A1300" t="str">
        <f>"623-8237"</f>
        <v>623-8237</v>
      </c>
      <c r="B1300" t="s">
        <v>5011</v>
      </c>
      <c r="C1300" t="str">
        <f>"7615"</f>
        <v>7615</v>
      </c>
      <c r="E1300" t="s">
        <v>4429</v>
      </c>
      <c r="F1300" t="s">
        <v>24</v>
      </c>
      <c r="G1300" t="s">
        <v>5012</v>
      </c>
      <c r="H1300" t="s">
        <v>17</v>
      </c>
      <c r="I1300" t="s">
        <v>18</v>
      </c>
      <c r="J1300" t="str">
        <f>"5148150708"</f>
        <v>5148150708</v>
      </c>
      <c r="K1300" t="s">
        <v>5013</v>
      </c>
      <c r="L1300" t="s">
        <v>86</v>
      </c>
      <c r="M1300" t="s">
        <v>21</v>
      </c>
    </row>
    <row r="1301" spans="1:13" x14ac:dyDescent="0.35">
      <c r="A1301" t="str">
        <f>"623-8487"</f>
        <v>623-8487</v>
      </c>
      <c r="B1301" t="s">
        <v>5014</v>
      </c>
      <c r="C1301" t="str">
        <f>"5928"</f>
        <v>5928</v>
      </c>
      <c r="E1301" t="s">
        <v>2386</v>
      </c>
      <c r="F1301" t="s">
        <v>24</v>
      </c>
      <c r="G1301" t="s">
        <v>5015</v>
      </c>
      <c r="H1301" t="s">
        <v>17</v>
      </c>
      <c r="I1301" t="s">
        <v>18</v>
      </c>
      <c r="J1301" t="str">
        <f>"4383899744"</f>
        <v>4383899744</v>
      </c>
      <c r="K1301" t="s">
        <v>5016</v>
      </c>
      <c r="L1301" t="s">
        <v>137</v>
      </c>
      <c r="M1301" t="s">
        <v>21</v>
      </c>
    </row>
    <row r="1302" spans="1:13" x14ac:dyDescent="0.35">
      <c r="A1302" t="str">
        <f>"623-8503"</f>
        <v>623-8503</v>
      </c>
      <c r="B1302" t="s">
        <v>5017</v>
      </c>
      <c r="C1302" t="str">
        <f>"2670"</f>
        <v>2670</v>
      </c>
      <c r="D1302" t="str">
        <f>"2"</f>
        <v>2</v>
      </c>
      <c r="E1302" t="s">
        <v>5018</v>
      </c>
      <c r="F1302" t="s">
        <v>24</v>
      </c>
      <c r="G1302" t="s">
        <v>730</v>
      </c>
      <c r="H1302" t="s">
        <v>17</v>
      </c>
      <c r="I1302" t="s">
        <v>18</v>
      </c>
      <c r="J1302" t="str">
        <f>"4387288930"</f>
        <v>4387288930</v>
      </c>
      <c r="K1302" t="s">
        <v>5019</v>
      </c>
      <c r="L1302" t="s">
        <v>869</v>
      </c>
      <c r="M1302" t="s">
        <v>21</v>
      </c>
    </row>
    <row r="1303" spans="1:13" x14ac:dyDescent="0.35">
      <c r="A1303" t="str">
        <f>"623-8554"</f>
        <v>623-8554</v>
      </c>
      <c r="B1303" t="s">
        <v>5020</v>
      </c>
      <c r="C1303" t="str">
        <f>"7551"</f>
        <v>7551</v>
      </c>
      <c r="E1303" t="s">
        <v>3505</v>
      </c>
      <c r="F1303" t="s">
        <v>24</v>
      </c>
      <c r="G1303" t="s">
        <v>5021</v>
      </c>
      <c r="H1303" t="s">
        <v>17</v>
      </c>
      <c r="I1303" t="s">
        <v>18</v>
      </c>
      <c r="J1303" t="str">
        <f>"4389259183"</f>
        <v>4389259183</v>
      </c>
      <c r="K1303" t="s">
        <v>5022</v>
      </c>
      <c r="L1303" t="s">
        <v>86</v>
      </c>
      <c r="M1303" t="s">
        <v>21</v>
      </c>
    </row>
    <row r="1304" spans="1:13" x14ac:dyDescent="0.35">
      <c r="A1304" t="str">
        <f>"625-2182"</f>
        <v>625-2182</v>
      </c>
      <c r="B1304" t="s">
        <v>5023</v>
      </c>
      <c r="C1304" t="str">
        <f>"7933"</f>
        <v>7933</v>
      </c>
      <c r="E1304" t="s">
        <v>5024</v>
      </c>
      <c r="F1304" t="s">
        <v>24</v>
      </c>
      <c r="G1304" t="s">
        <v>5025</v>
      </c>
      <c r="H1304" t="s">
        <v>17</v>
      </c>
      <c r="I1304" t="s">
        <v>18</v>
      </c>
      <c r="J1304" t="str">
        <f>"4389204225"</f>
        <v>4389204225</v>
      </c>
      <c r="K1304" t="s">
        <v>5026</v>
      </c>
      <c r="L1304" t="s">
        <v>86</v>
      </c>
      <c r="M1304" t="s">
        <v>21</v>
      </c>
    </row>
    <row r="1305" spans="1:13" x14ac:dyDescent="0.35">
      <c r="A1305" t="str">
        <f>"625-2440"</f>
        <v>625-2440</v>
      </c>
      <c r="B1305" t="s">
        <v>5027</v>
      </c>
      <c r="C1305" t="str">
        <f>"523"</f>
        <v>523</v>
      </c>
      <c r="E1305" t="s">
        <v>5028</v>
      </c>
      <c r="F1305" t="s">
        <v>143</v>
      </c>
      <c r="G1305" t="s">
        <v>2173</v>
      </c>
      <c r="H1305" t="s">
        <v>17</v>
      </c>
      <c r="I1305" t="s">
        <v>18</v>
      </c>
      <c r="J1305" t="str">
        <f>"4385257716"</f>
        <v>4385257716</v>
      </c>
      <c r="K1305" t="s">
        <v>5029</v>
      </c>
      <c r="L1305" t="s">
        <v>383</v>
      </c>
      <c r="M1305" t="s">
        <v>21</v>
      </c>
    </row>
    <row r="1306" spans="1:13" x14ac:dyDescent="0.35">
      <c r="A1306" t="str">
        <f>"625-2615"</f>
        <v>625-2615</v>
      </c>
      <c r="B1306" t="s">
        <v>5030</v>
      </c>
      <c r="C1306" t="str">
        <f>"29"</f>
        <v>29</v>
      </c>
      <c r="E1306" t="s">
        <v>5031</v>
      </c>
      <c r="F1306" t="s">
        <v>5032</v>
      </c>
      <c r="G1306" t="s">
        <v>5033</v>
      </c>
      <c r="H1306" t="s">
        <v>17</v>
      </c>
      <c r="I1306" t="s">
        <v>18</v>
      </c>
      <c r="J1306" t="str">
        <f>"8192135936"</f>
        <v>8192135936</v>
      </c>
      <c r="K1306" t="s">
        <v>5034</v>
      </c>
      <c r="L1306" t="s">
        <v>168</v>
      </c>
      <c r="M1306" t="s">
        <v>21</v>
      </c>
    </row>
    <row r="1307" spans="1:13" x14ac:dyDescent="0.35">
      <c r="A1307" t="str">
        <f>"625-2948"</f>
        <v>625-2948</v>
      </c>
      <c r="B1307" t="s">
        <v>5035</v>
      </c>
      <c r="C1307" t="str">
        <f>"6519"</f>
        <v>6519</v>
      </c>
      <c r="E1307" t="s">
        <v>2523</v>
      </c>
      <c r="F1307" t="s">
        <v>24</v>
      </c>
      <c r="G1307" t="s">
        <v>5036</v>
      </c>
      <c r="H1307" t="s">
        <v>17</v>
      </c>
      <c r="I1307" t="s">
        <v>18</v>
      </c>
      <c r="J1307" t="str">
        <f>"5147594955"</f>
        <v>5147594955</v>
      </c>
      <c r="K1307" t="s">
        <v>5037</v>
      </c>
      <c r="L1307" t="s">
        <v>27</v>
      </c>
      <c r="M1307" t="s">
        <v>21</v>
      </c>
    </row>
    <row r="1308" spans="1:13" x14ac:dyDescent="0.35">
      <c r="A1308" t="str">
        <f>"077-8991"</f>
        <v>077-8991</v>
      </c>
      <c r="B1308" t="s">
        <v>5038</v>
      </c>
      <c r="C1308" t="str">
        <f>"5515"</f>
        <v>5515</v>
      </c>
      <c r="D1308" t="str">
        <f>"115"</f>
        <v>115</v>
      </c>
      <c r="E1308" t="s">
        <v>5039</v>
      </c>
      <c r="F1308" t="s">
        <v>3004</v>
      </c>
      <c r="G1308" t="s">
        <v>5040</v>
      </c>
      <c r="H1308" t="s">
        <v>17</v>
      </c>
      <c r="I1308" t="s">
        <v>18</v>
      </c>
      <c r="J1308" t="str">
        <f>"5146257420"</f>
        <v>5146257420</v>
      </c>
      <c r="K1308" t="s">
        <v>5041</v>
      </c>
      <c r="L1308" t="s">
        <v>20</v>
      </c>
      <c r="M1308" t="s">
        <v>21</v>
      </c>
    </row>
    <row r="1309" spans="1:13" x14ac:dyDescent="0.35">
      <c r="A1309" t="str">
        <f>"081-2119"</f>
        <v>081-2119</v>
      </c>
      <c r="B1309" t="s">
        <v>5042</v>
      </c>
      <c r="C1309" t="str">
        <f>"1305"</f>
        <v>1305</v>
      </c>
      <c r="D1309" t="str">
        <f>"A"</f>
        <v>A</v>
      </c>
      <c r="E1309" t="s">
        <v>5043</v>
      </c>
      <c r="F1309" t="s">
        <v>24</v>
      </c>
      <c r="G1309" t="s">
        <v>5044</v>
      </c>
      <c r="H1309" t="s">
        <v>17</v>
      </c>
      <c r="I1309" t="s">
        <v>18</v>
      </c>
      <c r="J1309" t="str">
        <f>"5148156238"</f>
        <v>5148156238</v>
      </c>
      <c r="K1309" t="s">
        <v>5045</v>
      </c>
      <c r="L1309" t="s">
        <v>20</v>
      </c>
      <c r="M1309" t="s">
        <v>21</v>
      </c>
    </row>
    <row r="1310" spans="1:13" x14ac:dyDescent="0.35">
      <c r="A1310" t="str">
        <f>"083-8176"</f>
        <v>083-8176</v>
      </c>
      <c r="B1310" t="s">
        <v>5046</v>
      </c>
      <c r="C1310" t="str">
        <f>"219"</f>
        <v>219</v>
      </c>
      <c r="E1310" t="s">
        <v>5047</v>
      </c>
      <c r="F1310" t="s">
        <v>5048</v>
      </c>
      <c r="G1310" t="s">
        <v>5049</v>
      </c>
      <c r="H1310" t="s">
        <v>17</v>
      </c>
      <c r="I1310" t="s">
        <v>18</v>
      </c>
      <c r="J1310" t="str">
        <f>"8199931112"</f>
        <v>8199931112</v>
      </c>
      <c r="K1310" t="s">
        <v>5050</v>
      </c>
      <c r="L1310" t="s">
        <v>20</v>
      </c>
      <c r="M1310" t="s">
        <v>21</v>
      </c>
    </row>
    <row r="1311" spans="1:13" x14ac:dyDescent="0.35">
      <c r="A1311" t="str">
        <f>"085-6196"</f>
        <v>085-6196</v>
      </c>
      <c r="B1311" t="s">
        <v>5051</v>
      </c>
      <c r="C1311" t="str">
        <f>"5967"</f>
        <v>5967</v>
      </c>
      <c r="E1311" t="s">
        <v>2639</v>
      </c>
      <c r="F1311" t="s">
        <v>24</v>
      </c>
      <c r="G1311" t="s">
        <v>5052</v>
      </c>
      <c r="H1311" t="s">
        <v>17</v>
      </c>
      <c r="I1311" t="s">
        <v>18</v>
      </c>
      <c r="J1311" t="str">
        <f>"5142147700"</f>
        <v>5142147700</v>
      </c>
      <c r="K1311" t="s">
        <v>5053</v>
      </c>
      <c r="L1311" t="s">
        <v>20</v>
      </c>
      <c r="M1311" t="s">
        <v>21</v>
      </c>
    </row>
    <row r="1312" spans="1:13" x14ac:dyDescent="0.35">
      <c r="A1312" t="str">
        <f>"213-5080"</f>
        <v>213-5080</v>
      </c>
      <c r="B1312" t="s">
        <v>5054</v>
      </c>
      <c r="C1312" t="str">
        <f>"1195"</f>
        <v>1195</v>
      </c>
      <c r="E1312" t="s">
        <v>23</v>
      </c>
      <c r="F1312" t="s">
        <v>24</v>
      </c>
      <c r="G1312" t="s">
        <v>25</v>
      </c>
      <c r="H1312" t="s">
        <v>17</v>
      </c>
      <c r="I1312" t="s">
        <v>18</v>
      </c>
      <c r="J1312" t="str">
        <f>"5149787084"</f>
        <v>5149787084</v>
      </c>
      <c r="K1312" t="s">
        <v>5055</v>
      </c>
      <c r="L1312" t="s">
        <v>27</v>
      </c>
      <c r="M1312" t="s">
        <v>21</v>
      </c>
    </row>
    <row r="1313" spans="1:13" x14ac:dyDescent="0.35">
      <c r="A1313" t="str">
        <f>"213-9809"</f>
        <v>213-9809</v>
      </c>
      <c r="B1313" t="s">
        <v>5056</v>
      </c>
      <c r="C1313" t="str">
        <f>"1705"</f>
        <v>1705</v>
      </c>
      <c r="E1313" t="s">
        <v>519</v>
      </c>
      <c r="F1313" t="s">
        <v>24</v>
      </c>
      <c r="G1313" t="s">
        <v>939</v>
      </c>
      <c r="H1313" t="s">
        <v>17</v>
      </c>
      <c r="I1313" t="s">
        <v>18</v>
      </c>
      <c r="J1313" t="str">
        <f>"5146258600"</f>
        <v>5146258600</v>
      </c>
      <c r="K1313" t="s">
        <v>5057</v>
      </c>
      <c r="L1313" t="s">
        <v>27</v>
      </c>
      <c r="M1313" t="s">
        <v>21</v>
      </c>
    </row>
    <row r="1314" spans="1:13" x14ac:dyDescent="0.35">
      <c r="A1314" t="str">
        <f>"221-5334"</f>
        <v>221-5334</v>
      </c>
      <c r="B1314" t="s">
        <v>5058</v>
      </c>
      <c r="C1314" t="str">
        <f>"1495"</f>
        <v>1495</v>
      </c>
      <c r="D1314" t="str">
        <f>"6"</f>
        <v>6</v>
      </c>
      <c r="E1314" t="s">
        <v>5059</v>
      </c>
      <c r="F1314" t="s">
        <v>24</v>
      </c>
      <c r="G1314" t="s">
        <v>5060</v>
      </c>
      <c r="H1314" t="s">
        <v>17</v>
      </c>
      <c r="I1314" t="s">
        <v>18</v>
      </c>
      <c r="J1314" t="str">
        <f>"4383457444"</f>
        <v>4383457444</v>
      </c>
      <c r="K1314" t="s">
        <v>5061</v>
      </c>
      <c r="L1314" t="s">
        <v>70</v>
      </c>
      <c r="M1314" t="s">
        <v>21</v>
      </c>
    </row>
    <row r="1315" spans="1:13" x14ac:dyDescent="0.35">
      <c r="A1315" t="str">
        <f>"222-0847"</f>
        <v>222-0847</v>
      </c>
      <c r="B1315" t="s">
        <v>5062</v>
      </c>
      <c r="C1315" t="str">
        <f>"89"</f>
        <v>89</v>
      </c>
      <c r="E1315" t="s">
        <v>5063</v>
      </c>
      <c r="F1315" t="s">
        <v>624</v>
      </c>
      <c r="G1315" t="s">
        <v>5064</v>
      </c>
      <c r="H1315" t="s">
        <v>17</v>
      </c>
      <c r="I1315" t="s">
        <v>18</v>
      </c>
      <c r="J1315" t="str">
        <f>"5149145817"</f>
        <v>5149145817</v>
      </c>
      <c r="K1315" t="s">
        <v>5065</v>
      </c>
      <c r="L1315" t="s">
        <v>198</v>
      </c>
      <c r="M1315" t="s">
        <v>21</v>
      </c>
    </row>
    <row r="1316" spans="1:13" x14ac:dyDescent="0.35">
      <c r="A1316" t="str">
        <f>"619-5512"</f>
        <v>619-5512</v>
      </c>
      <c r="B1316" t="s">
        <v>5066</v>
      </c>
      <c r="C1316" t="str">
        <f>"7035"</f>
        <v>7035</v>
      </c>
      <c r="D1316" t="str">
        <f>"15"</f>
        <v>15</v>
      </c>
      <c r="E1316" t="s">
        <v>472</v>
      </c>
      <c r="F1316" t="s">
        <v>24</v>
      </c>
      <c r="G1316" t="s">
        <v>5067</v>
      </c>
      <c r="H1316" t="s">
        <v>17</v>
      </c>
      <c r="I1316" t="s">
        <v>18</v>
      </c>
      <c r="J1316" t="str">
        <f>"4385067645"</f>
        <v>4385067645</v>
      </c>
      <c r="K1316" t="s">
        <v>5068</v>
      </c>
      <c r="L1316" t="s">
        <v>86</v>
      </c>
      <c r="M1316" t="s">
        <v>21</v>
      </c>
    </row>
    <row r="1317" spans="1:13" x14ac:dyDescent="0.35">
      <c r="A1317" t="str">
        <f>"619-6586"</f>
        <v>619-6586</v>
      </c>
      <c r="B1317" t="s">
        <v>5069</v>
      </c>
      <c r="C1317" t="str">
        <f>"496"</f>
        <v>496</v>
      </c>
      <c r="E1317" t="s">
        <v>5070</v>
      </c>
      <c r="F1317" t="s">
        <v>32</v>
      </c>
      <c r="G1317" t="s">
        <v>5071</v>
      </c>
      <c r="H1317" t="s">
        <v>17</v>
      </c>
      <c r="I1317" t="s">
        <v>18</v>
      </c>
      <c r="J1317" t="str">
        <f>"5142240550"</f>
        <v>5142240550</v>
      </c>
      <c r="K1317" t="s">
        <v>5072</v>
      </c>
      <c r="L1317" t="s">
        <v>350</v>
      </c>
      <c r="M1317" t="s">
        <v>21</v>
      </c>
    </row>
    <row r="1318" spans="1:13" x14ac:dyDescent="0.35">
      <c r="A1318" t="str">
        <f>"623-0458"</f>
        <v>623-0458</v>
      </c>
      <c r="B1318" t="s">
        <v>5073</v>
      </c>
      <c r="C1318" t="str">
        <f>"980"</f>
        <v>980</v>
      </c>
      <c r="E1318" t="s">
        <v>5074</v>
      </c>
      <c r="F1318" t="s">
        <v>1554</v>
      </c>
      <c r="G1318" t="s">
        <v>5075</v>
      </c>
      <c r="H1318" t="s">
        <v>17</v>
      </c>
      <c r="I1318" t="s">
        <v>18</v>
      </c>
      <c r="J1318" t="str">
        <f>"4385027176"</f>
        <v>4385027176</v>
      </c>
      <c r="K1318" t="s">
        <v>5076</v>
      </c>
      <c r="L1318" t="s">
        <v>39</v>
      </c>
      <c r="M1318" t="s">
        <v>21</v>
      </c>
    </row>
    <row r="1319" spans="1:13" x14ac:dyDescent="0.35">
      <c r="A1319" t="str">
        <f>"623-0774"</f>
        <v>623-0774</v>
      </c>
      <c r="B1319" t="s">
        <v>5078</v>
      </c>
      <c r="C1319" t="str">
        <f>"391"</f>
        <v>391</v>
      </c>
      <c r="E1319" t="s">
        <v>5079</v>
      </c>
      <c r="F1319" t="s">
        <v>5080</v>
      </c>
      <c r="G1319" t="s">
        <v>5081</v>
      </c>
      <c r="H1319" t="s">
        <v>17</v>
      </c>
      <c r="I1319" t="s">
        <v>18</v>
      </c>
      <c r="J1319" t="str">
        <f>"4185091831"</f>
        <v>4185091831</v>
      </c>
      <c r="K1319" t="s">
        <v>5082</v>
      </c>
      <c r="L1319" t="s">
        <v>20</v>
      </c>
      <c r="M1319" t="s">
        <v>21</v>
      </c>
    </row>
    <row r="1320" spans="1:13" x14ac:dyDescent="0.35">
      <c r="A1320" t="str">
        <f>"623-0917"</f>
        <v>623-0917</v>
      </c>
      <c r="B1320" t="s">
        <v>5083</v>
      </c>
      <c r="C1320" t="str">
        <f>"7328"</f>
        <v>7328</v>
      </c>
      <c r="D1320" t="str">
        <f>"11"</f>
        <v>11</v>
      </c>
      <c r="E1320" t="s">
        <v>694</v>
      </c>
      <c r="F1320" t="s">
        <v>24</v>
      </c>
      <c r="G1320" t="s">
        <v>2119</v>
      </c>
      <c r="H1320" t="s">
        <v>17</v>
      </c>
      <c r="I1320" t="s">
        <v>18</v>
      </c>
      <c r="J1320" t="str">
        <f>"4388707642"</f>
        <v>4388707642</v>
      </c>
      <c r="K1320" t="s">
        <v>5084</v>
      </c>
      <c r="L1320" t="s">
        <v>76</v>
      </c>
      <c r="M1320" t="s">
        <v>21</v>
      </c>
    </row>
    <row r="1321" spans="1:13" x14ac:dyDescent="0.35">
      <c r="A1321" t="str">
        <f>"623-1203"</f>
        <v>623-1203</v>
      </c>
      <c r="B1321" t="s">
        <v>5085</v>
      </c>
      <c r="C1321" t="str">
        <f>"5977"</f>
        <v>5977</v>
      </c>
      <c r="E1321" t="s">
        <v>5086</v>
      </c>
      <c r="F1321" t="s">
        <v>24</v>
      </c>
      <c r="G1321" t="s">
        <v>5087</v>
      </c>
      <c r="H1321" t="s">
        <v>17</v>
      </c>
      <c r="I1321" t="s">
        <v>18</v>
      </c>
      <c r="J1321" t="str">
        <f>"4388734680"</f>
        <v>4388734680</v>
      </c>
      <c r="K1321" t="s">
        <v>5088</v>
      </c>
      <c r="L1321" t="s">
        <v>193</v>
      </c>
      <c r="M1321" t="s">
        <v>21</v>
      </c>
    </row>
    <row r="1322" spans="1:13" x14ac:dyDescent="0.35">
      <c r="A1322" t="str">
        <f>"626-3309"</f>
        <v>626-3309</v>
      </c>
      <c r="B1322" t="s">
        <v>5089</v>
      </c>
      <c r="C1322" t="str">
        <f>"9074"</f>
        <v>9074</v>
      </c>
      <c r="D1322" t="str">
        <f>"04"</f>
        <v>04</v>
      </c>
      <c r="E1322" t="s">
        <v>2133</v>
      </c>
      <c r="F1322" t="s">
        <v>24</v>
      </c>
      <c r="G1322" t="s">
        <v>5090</v>
      </c>
      <c r="H1322" t="s">
        <v>17</v>
      </c>
      <c r="I1322" t="s">
        <v>18</v>
      </c>
      <c r="J1322" t="str">
        <f>"4389254912"</f>
        <v>4389254912</v>
      </c>
      <c r="K1322" t="s">
        <v>5091</v>
      </c>
      <c r="L1322" t="s">
        <v>396</v>
      </c>
      <c r="M1322" t="s">
        <v>21</v>
      </c>
    </row>
    <row r="1323" spans="1:13" x14ac:dyDescent="0.35">
      <c r="A1323" t="str">
        <f>"883-6605"</f>
        <v>883-6605</v>
      </c>
      <c r="B1323" t="s">
        <v>5092</v>
      </c>
      <c r="C1323" t="str">
        <f>"1700"</f>
        <v>1700</v>
      </c>
      <c r="D1323" t="str">
        <f>"1012"</f>
        <v>1012</v>
      </c>
      <c r="E1323" t="s">
        <v>5093</v>
      </c>
      <c r="F1323" t="s">
        <v>24</v>
      </c>
      <c r="G1323" t="s">
        <v>5094</v>
      </c>
      <c r="H1323" t="s">
        <v>17</v>
      </c>
      <c r="I1323" t="s">
        <v>18</v>
      </c>
      <c r="J1323" t="str">
        <f>"4388680807"</f>
        <v>4388680807</v>
      </c>
      <c r="K1323" t="s">
        <v>5095</v>
      </c>
      <c r="L1323" t="s">
        <v>20</v>
      </c>
      <c r="M1323" t="s">
        <v>21</v>
      </c>
    </row>
    <row r="1324" spans="1:13" x14ac:dyDescent="0.35">
      <c r="A1324" t="str">
        <f>"180-3572"</f>
        <v>180-3572</v>
      </c>
      <c r="B1324" t="s">
        <v>5096</v>
      </c>
      <c r="C1324" t="str">
        <f>"192"</f>
        <v>192</v>
      </c>
      <c r="E1324" t="s">
        <v>5097</v>
      </c>
      <c r="F1324" t="s">
        <v>32</v>
      </c>
      <c r="G1324" t="s">
        <v>5098</v>
      </c>
      <c r="H1324" t="s">
        <v>17</v>
      </c>
      <c r="I1324" t="s">
        <v>18</v>
      </c>
      <c r="J1324" t="str">
        <f>"4505315648"</f>
        <v>4505315648</v>
      </c>
      <c r="K1324" t="s">
        <v>5099</v>
      </c>
      <c r="L1324" t="s">
        <v>313</v>
      </c>
      <c r="M1324" t="s">
        <v>21</v>
      </c>
    </row>
    <row r="1325" spans="1:13" x14ac:dyDescent="0.35">
      <c r="A1325" t="str">
        <f>"195-0430"</f>
        <v>195-0430</v>
      </c>
      <c r="B1325" t="s">
        <v>5100</v>
      </c>
      <c r="C1325" t="str">
        <f>"560"</f>
        <v>560</v>
      </c>
      <c r="E1325" t="s">
        <v>5101</v>
      </c>
      <c r="F1325" t="s">
        <v>2739</v>
      </c>
      <c r="G1325" t="s">
        <v>5102</v>
      </c>
      <c r="H1325" t="s">
        <v>17</v>
      </c>
      <c r="I1325" t="s">
        <v>18</v>
      </c>
      <c r="J1325" t="str">
        <f>"4508581746"</f>
        <v>4508581746</v>
      </c>
      <c r="K1325" t="s">
        <v>5103</v>
      </c>
      <c r="L1325" t="s">
        <v>29</v>
      </c>
      <c r="M1325" t="s">
        <v>21</v>
      </c>
    </row>
    <row r="1326" spans="1:13" x14ac:dyDescent="0.35">
      <c r="A1326" t="str">
        <f>"195-3760"</f>
        <v>195-3760</v>
      </c>
      <c r="B1326" t="s">
        <v>5104</v>
      </c>
      <c r="C1326" t="str">
        <f>"2555"</f>
        <v>2555</v>
      </c>
      <c r="E1326" t="s">
        <v>5105</v>
      </c>
      <c r="F1326" t="s">
        <v>4362</v>
      </c>
      <c r="G1326" t="s">
        <v>5106</v>
      </c>
      <c r="H1326" t="s">
        <v>17</v>
      </c>
      <c r="I1326" t="s">
        <v>18</v>
      </c>
      <c r="J1326" t="str">
        <f>"5147723074"</f>
        <v>5147723074</v>
      </c>
      <c r="K1326" t="s">
        <v>5107</v>
      </c>
      <c r="L1326" t="s">
        <v>39</v>
      </c>
      <c r="M1326" t="s">
        <v>21</v>
      </c>
    </row>
    <row r="1327" spans="1:13" x14ac:dyDescent="0.35">
      <c r="A1327" t="str">
        <f>"195-7000"</f>
        <v>195-7000</v>
      </c>
      <c r="B1327" t="s">
        <v>5108</v>
      </c>
      <c r="C1327" t="str">
        <f>"38"</f>
        <v>38</v>
      </c>
      <c r="E1327" t="s">
        <v>5109</v>
      </c>
      <c r="F1327" t="s">
        <v>32</v>
      </c>
      <c r="G1327" t="s">
        <v>5110</v>
      </c>
      <c r="H1327" t="s">
        <v>17</v>
      </c>
      <c r="I1327" t="s">
        <v>18</v>
      </c>
      <c r="J1327" t="str">
        <f>"5148279634"</f>
        <v>5148279634</v>
      </c>
      <c r="K1327" t="s">
        <v>5111</v>
      </c>
      <c r="L1327" t="s">
        <v>350</v>
      </c>
      <c r="M1327" t="s">
        <v>21</v>
      </c>
    </row>
    <row r="1328" spans="1:13" x14ac:dyDescent="0.35">
      <c r="A1328" t="str">
        <f>"200-4194"</f>
        <v>200-4194</v>
      </c>
      <c r="B1328" t="s">
        <v>5112</v>
      </c>
      <c r="C1328" t="str">
        <f>"930"</f>
        <v>930</v>
      </c>
      <c r="D1328" t="str">
        <f>"18"</f>
        <v>18</v>
      </c>
      <c r="E1328" t="s">
        <v>5113</v>
      </c>
      <c r="F1328" t="s">
        <v>24</v>
      </c>
      <c r="G1328" t="s">
        <v>5114</v>
      </c>
      <c r="H1328" t="s">
        <v>17</v>
      </c>
      <c r="I1328" t="s">
        <v>18</v>
      </c>
      <c r="J1328" t="str">
        <f>"5146523054"</f>
        <v>5146523054</v>
      </c>
      <c r="K1328" t="s">
        <v>5115</v>
      </c>
      <c r="L1328" t="s">
        <v>319</v>
      </c>
      <c r="M1328" t="s">
        <v>21</v>
      </c>
    </row>
    <row r="1329" spans="1:13" x14ac:dyDescent="0.35">
      <c r="A1329" t="str">
        <f>"205-3318"</f>
        <v>205-3318</v>
      </c>
      <c r="B1329" t="s">
        <v>5116</v>
      </c>
      <c r="C1329" t="str">
        <f>"2905"</f>
        <v>2905</v>
      </c>
      <c r="E1329" t="s">
        <v>5117</v>
      </c>
      <c r="F1329" t="s">
        <v>1554</v>
      </c>
      <c r="G1329" t="s">
        <v>5118</v>
      </c>
      <c r="H1329" t="s">
        <v>17</v>
      </c>
      <c r="I1329" t="s">
        <v>18</v>
      </c>
      <c r="J1329" t="str">
        <f>"4385266746"</f>
        <v>4385266746</v>
      </c>
      <c r="K1329" t="s">
        <v>5119</v>
      </c>
      <c r="L1329" t="s">
        <v>319</v>
      </c>
      <c r="M1329" t="s">
        <v>21</v>
      </c>
    </row>
    <row r="1330" spans="1:13" x14ac:dyDescent="0.35">
      <c r="A1330" t="str">
        <f>"625-0056"</f>
        <v>625-0056</v>
      </c>
      <c r="B1330" t="s">
        <v>5120</v>
      </c>
      <c r="C1330" t="str">
        <f>"2079"</f>
        <v>2079</v>
      </c>
      <c r="E1330" t="s">
        <v>314</v>
      </c>
      <c r="F1330" t="s">
        <v>24</v>
      </c>
      <c r="G1330" t="s">
        <v>5121</v>
      </c>
      <c r="H1330" t="s">
        <v>17</v>
      </c>
      <c r="I1330" t="s">
        <v>18</v>
      </c>
      <c r="J1330" t="str">
        <f>"4385032039"</f>
        <v>4385032039</v>
      </c>
      <c r="K1330" t="s">
        <v>5122</v>
      </c>
      <c r="L1330" t="s">
        <v>466</v>
      </c>
      <c r="M1330" t="s">
        <v>21</v>
      </c>
    </row>
    <row r="1331" spans="1:13" x14ac:dyDescent="0.35">
      <c r="A1331" t="str">
        <f>"624-9829"</f>
        <v>624-9829</v>
      </c>
      <c r="B1331" t="s">
        <v>5123</v>
      </c>
      <c r="C1331" t="str">
        <f>"5472"</f>
        <v>5472</v>
      </c>
      <c r="E1331" t="s">
        <v>4577</v>
      </c>
      <c r="F1331" t="s">
        <v>24</v>
      </c>
      <c r="G1331" t="s">
        <v>5124</v>
      </c>
      <c r="H1331" t="s">
        <v>17</v>
      </c>
      <c r="I1331" t="s">
        <v>18</v>
      </c>
      <c r="J1331" t="str">
        <f>"5148911002"</f>
        <v>5148911002</v>
      </c>
      <c r="K1331" t="s">
        <v>5125</v>
      </c>
      <c r="L1331" t="s">
        <v>29</v>
      </c>
      <c r="M1331" t="s">
        <v>21</v>
      </c>
    </row>
    <row r="1332" spans="1:13" x14ac:dyDescent="0.35">
      <c r="A1332" t="str">
        <f>"625-0733"</f>
        <v>625-0733</v>
      </c>
      <c r="B1332" t="s">
        <v>5126</v>
      </c>
      <c r="C1332" t="str">
        <f>"6580"</f>
        <v>6580</v>
      </c>
      <c r="E1332" t="s">
        <v>2822</v>
      </c>
      <c r="F1332" t="s">
        <v>24</v>
      </c>
      <c r="G1332" t="s">
        <v>5127</v>
      </c>
      <c r="H1332" t="s">
        <v>17</v>
      </c>
      <c r="I1332" t="s">
        <v>18</v>
      </c>
      <c r="J1332" t="str">
        <f>"4385211799"</f>
        <v>4385211799</v>
      </c>
      <c r="K1332" t="s">
        <v>5128</v>
      </c>
      <c r="L1332" t="s">
        <v>137</v>
      </c>
      <c r="M1332" t="s">
        <v>21</v>
      </c>
    </row>
    <row r="1333" spans="1:13" x14ac:dyDescent="0.35">
      <c r="A1333" t="str">
        <f>"047-3547"</f>
        <v>047-3547</v>
      </c>
      <c r="B1333" t="s">
        <v>5129</v>
      </c>
      <c r="C1333" t="str">
        <f>"178"</f>
        <v>178</v>
      </c>
      <c r="E1333" t="s">
        <v>5130</v>
      </c>
      <c r="F1333" t="s">
        <v>1506</v>
      </c>
      <c r="G1333" t="s">
        <v>5131</v>
      </c>
      <c r="H1333" t="s">
        <v>17</v>
      </c>
      <c r="I1333" t="s">
        <v>18</v>
      </c>
      <c r="J1333" t="str">
        <f>"4505415839"</f>
        <v>4505415839</v>
      </c>
      <c r="K1333" t="s">
        <v>5132</v>
      </c>
      <c r="L1333" t="s">
        <v>313</v>
      </c>
      <c r="M1333" t="s">
        <v>21</v>
      </c>
    </row>
    <row r="1334" spans="1:13" x14ac:dyDescent="0.35">
      <c r="A1334" t="str">
        <f>"625-3093"</f>
        <v>625-3093</v>
      </c>
      <c r="B1334" t="s">
        <v>5133</v>
      </c>
      <c r="C1334" t="str">
        <f>"6161"</f>
        <v>6161</v>
      </c>
      <c r="D1334" t="str">
        <f>"2"</f>
        <v>2</v>
      </c>
      <c r="E1334" t="s">
        <v>5134</v>
      </c>
      <c r="F1334" t="s">
        <v>24</v>
      </c>
      <c r="G1334" t="s">
        <v>2413</v>
      </c>
      <c r="H1334" t="s">
        <v>17</v>
      </c>
      <c r="I1334" t="s">
        <v>18</v>
      </c>
      <c r="J1334" t="str">
        <f>"4389207841"</f>
        <v>4389207841</v>
      </c>
      <c r="K1334" t="s">
        <v>5135</v>
      </c>
      <c r="L1334" t="s">
        <v>396</v>
      </c>
      <c r="M1334" t="s">
        <v>21</v>
      </c>
    </row>
    <row r="1335" spans="1:13" x14ac:dyDescent="0.35">
      <c r="A1335" t="str">
        <f>"625-3293"</f>
        <v>625-3293</v>
      </c>
      <c r="B1335" t="s">
        <v>5136</v>
      </c>
      <c r="C1335" t="str">
        <f>"10605"</f>
        <v>10605</v>
      </c>
      <c r="D1335" t="str">
        <f>"1"</f>
        <v>1</v>
      </c>
      <c r="E1335" t="s">
        <v>5137</v>
      </c>
      <c r="F1335" t="s">
        <v>24</v>
      </c>
      <c r="G1335" t="s">
        <v>5138</v>
      </c>
      <c r="H1335" t="s">
        <v>17</v>
      </c>
      <c r="I1335" t="s">
        <v>18</v>
      </c>
      <c r="J1335" t="str">
        <f>"5144587656"</f>
        <v>5144587656</v>
      </c>
      <c r="K1335" t="s">
        <v>5139</v>
      </c>
      <c r="L1335" t="s">
        <v>86</v>
      </c>
      <c r="M1335" t="s">
        <v>21</v>
      </c>
    </row>
    <row r="1336" spans="1:13" x14ac:dyDescent="0.35">
      <c r="A1336" t="str">
        <f>"625-3619"</f>
        <v>625-3619</v>
      </c>
      <c r="B1336" t="s">
        <v>5140</v>
      </c>
      <c r="C1336" t="str">
        <f>"2154"</f>
        <v>2154</v>
      </c>
      <c r="D1336" t="str">
        <f>"1"</f>
        <v>1</v>
      </c>
      <c r="E1336" t="s">
        <v>5141</v>
      </c>
      <c r="F1336" t="s">
        <v>24</v>
      </c>
      <c r="G1336" t="s">
        <v>5142</v>
      </c>
      <c r="H1336" t="s">
        <v>17</v>
      </c>
      <c r="I1336" t="s">
        <v>18</v>
      </c>
      <c r="J1336" t="str">
        <f>"5149771649"</f>
        <v>5149771649</v>
      </c>
      <c r="K1336" t="s">
        <v>5143</v>
      </c>
      <c r="L1336" t="s">
        <v>313</v>
      </c>
      <c r="M1336" t="s">
        <v>21</v>
      </c>
    </row>
    <row r="1337" spans="1:13" x14ac:dyDescent="0.35">
      <c r="A1337" t="str">
        <f>"625-3687"</f>
        <v>625-3687</v>
      </c>
      <c r="B1337" t="s">
        <v>5144</v>
      </c>
      <c r="C1337" t="str">
        <f>"3140"</f>
        <v>3140</v>
      </c>
      <c r="D1337" t="str">
        <f>"2"</f>
        <v>2</v>
      </c>
      <c r="E1337" t="s">
        <v>343</v>
      </c>
      <c r="F1337" t="s">
        <v>157</v>
      </c>
      <c r="G1337" t="s">
        <v>5145</v>
      </c>
      <c r="H1337" t="s">
        <v>17</v>
      </c>
      <c r="I1337" t="s">
        <v>18</v>
      </c>
      <c r="J1337" t="str">
        <f>"4387228460"</f>
        <v>4387228460</v>
      </c>
      <c r="K1337" t="s">
        <v>5146</v>
      </c>
      <c r="L1337" t="s">
        <v>350</v>
      </c>
      <c r="M1337" t="s">
        <v>21</v>
      </c>
    </row>
    <row r="1338" spans="1:13" x14ac:dyDescent="0.35">
      <c r="A1338" t="str">
        <f>"625-7022"</f>
        <v>625-7022</v>
      </c>
      <c r="B1338" t="s">
        <v>5147</v>
      </c>
      <c r="C1338" t="str">
        <f>"2665"</f>
        <v>2665</v>
      </c>
      <c r="E1338" t="s">
        <v>5148</v>
      </c>
      <c r="F1338" t="s">
        <v>24</v>
      </c>
      <c r="G1338" t="s">
        <v>5149</v>
      </c>
      <c r="H1338" t="s">
        <v>17</v>
      </c>
      <c r="I1338" t="s">
        <v>18</v>
      </c>
      <c r="J1338" t="str">
        <f>"4389367467"</f>
        <v>4389367467</v>
      </c>
      <c r="K1338" t="s">
        <v>5150</v>
      </c>
      <c r="L1338" t="s">
        <v>869</v>
      </c>
      <c r="M1338" t="s">
        <v>21</v>
      </c>
    </row>
    <row r="1339" spans="1:13" x14ac:dyDescent="0.35">
      <c r="A1339" t="str">
        <f>"625-7219"</f>
        <v>625-7219</v>
      </c>
      <c r="B1339" t="s">
        <v>5151</v>
      </c>
      <c r="C1339" t="str">
        <f>"3172"</f>
        <v>3172</v>
      </c>
      <c r="E1339" t="s">
        <v>3549</v>
      </c>
      <c r="F1339" t="s">
        <v>24</v>
      </c>
      <c r="G1339" t="s">
        <v>5152</v>
      </c>
      <c r="H1339" t="s">
        <v>17</v>
      </c>
      <c r="I1339" t="s">
        <v>18</v>
      </c>
      <c r="J1339" t="str">
        <f>"5146773908"</f>
        <v>5146773908</v>
      </c>
      <c r="K1339" t="s">
        <v>5153</v>
      </c>
      <c r="L1339" t="s">
        <v>869</v>
      </c>
      <c r="M1339" t="s">
        <v>21</v>
      </c>
    </row>
    <row r="1340" spans="1:13" x14ac:dyDescent="0.35">
      <c r="A1340" t="str">
        <f>"954-5185"</f>
        <v>954-5185</v>
      </c>
      <c r="B1340" t="s">
        <v>5154</v>
      </c>
      <c r="C1340" t="str">
        <f>"236"</f>
        <v>236</v>
      </c>
      <c r="E1340" t="s">
        <v>5155</v>
      </c>
      <c r="F1340" t="s">
        <v>5156</v>
      </c>
      <c r="G1340" t="s">
        <v>5157</v>
      </c>
      <c r="H1340" t="s">
        <v>17</v>
      </c>
      <c r="I1340" t="s">
        <v>18</v>
      </c>
      <c r="J1340" t="str">
        <f>"5147099272"</f>
        <v>5147099272</v>
      </c>
      <c r="K1340" t="s">
        <v>5158</v>
      </c>
      <c r="L1340" t="s">
        <v>20</v>
      </c>
      <c r="M1340" t="s">
        <v>21</v>
      </c>
    </row>
    <row r="1341" spans="1:13" x14ac:dyDescent="0.35">
      <c r="A1341" t="str">
        <f>"154-9290"</f>
        <v>154-9290</v>
      </c>
      <c r="B1341" t="s">
        <v>5159</v>
      </c>
      <c r="C1341" t="str">
        <f>"3513"</f>
        <v>3513</v>
      </c>
      <c r="E1341" t="s">
        <v>5160</v>
      </c>
      <c r="F1341" t="s">
        <v>24</v>
      </c>
      <c r="G1341" t="s">
        <v>5161</v>
      </c>
      <c r="H1341" t="s">
        <v>17</v>
      </c>
      <c r="I1341" t="s">
        <v>18</v>
      </c>
      <c r="J1341" t="str">
        <f>"5143479863"</f>
        <v>5143479863</v>
      </c>
      <c r="K1341" t="s">
        <v>5162</v>
      </c>
      <c r="L1341" t="s">
        <v>313</v>
      </c>
      <c r="M1341" t="s">
        <v>21</v>
      </c>
    </row>
    <row r="1342" spans="1:13" x14ac:dyDescent="0.35">
      <c r="A1342" t="str">
        <f>"156-7702"</f>
        <v>156-7702</v>
      </c>
      <c r="B1342" t="s">
        <v>5163</v>
      </c>
      <c r="C1342" t="str">
        <f>"2363"</f>
        <v>2363</v>
      </c>
      <c r="E1342" t="s">
        <v>5164</v>
      </c>
      <c r="F1342" t="s">
        <v>24</v>
      </c>
      <c r="G1342" t="s">
        <v>5165</v>
      </c>
      <c r="H1342" t="s">
        <v>17</v>
      </c>
      <c r="I1342" t="s">
        <v>18</v>
      </c>
      <c r="J1342" t="str">
        <f>"5142669125"</f>
        <v>5142669125</v>
      </c>
      <c r="K1342" t="s">
        <v>5166</v>
      </c>
      <c r="L1342" t="s">
        <v>20</v>
      </c>
      <c r="M1342" t="s">
        <v>21</v>
      </c>
    </row>
    <row r="1343" spans="1:13" x14ac:dyDescent="0.35">
      <c r="A1343" t="str">
        <f>"176-5094"</f>
        <v>176-5094</v>
      </c>
      <c r="B1343" t="s">
        <v>5167</v>
      </c>
      <c r="C1343" t="str">
        <f>"12644"</f>
        <v>12644</v>
      </c>
      <c r="E1343" t="s">
        <v>2639</v>
      </c>
      <c r="F1343" t="s">
        <v>24</v>
      </c>
      <c r="G1343" t="s">
        <v>5168</v>
      </c>
      <c r="H1343" t="s">
        <v>17</v>
      </c>
      <c r="I1343" t="s">
        <v>18</v>
      </c>
      <c r="J1343" t="str">
        <f>"5148257695"</f>
        <v>5148257695</v>
      </c>
      <c r="K1343" t="s">
        <v>5169</v>
      </c>
      <c r="L1343" t="s">
        <v>39</v>
      </c>
      <c r="M1343" t="s">
        <v>21</v>
      </c>
    </row>
    <row r="1344" spans="1:13" x14ac:dyDescent="0.35">
      <c r="A1344" t="str">
        <f>"626-2098"</f>
        <v>626-2098</v>
      </c>
      <c r="B1344" t="s">
        <v>5170</v>
      </c>
      <c r="C1344" t="str">
        <f>"7000"</f>
        <v>7000</v>
      </c>
      <c r="D1344" t="str">
        <f>"263"</f>
        <v>263</v>
      </c>
      <c r="E1344" t="s">
        <v>3531</v>
      </c>
      <c r="F1344" t="s">
        <v>40</v>
      </c>
      <c r="G1344" t="s">
        <v>5171</v>
      </c>
      <c r="H1344" t="s">
        <v>17</v>
      </c>
      <c r="I1344" t="s">
        <v>18</v>
      </c>
      <c r="J1344" t="str">
        <f>"5146627367"</f>
        <v>5146627367</v>
      </c>
      <c r="K1344" t="s">
        <v>5172</v>
      </c>
      <c r="L1344" t="s">
        <v>86</v>
      </c>
      <c r="M1344" t="s">
        <v>21</v>
      </c>
    </row>
    <row r="1345" spans="1:13" x14ac:dyDescent="0.35">
      <c r="A1345" t="str">
        <f>"230-4445"</f>
        <v>230-4445</v>
      </c>
      <c r="B1345" t="s">
        <v>5173</v>
      </c>
      <c r="C1345" t="str">
        <f>"12025"</f>
        <v>12025</v>
      </c>
      <c r="E1345" t="s">
        <v>5174</v>
      </c>
      <c r="F1345" t="s">
        <v>24</v>
      </c>
      <c r="G1345" t="s">
        <v>5175</v>
      </c>
      <c r="H1345" t="s">
        <v>17</v>
      </c>
      <c r="I1345" t="s">
        <v>18</v>
      </c>
      <c r="J1345" t="str">
        <f>"5142200527"</f>
        <v>5142200527</v>
      </c>
      <c r="K1345" t="s">
        <v>5176</v>
      </c>
      <c r="L1345" t="s">
        <v>137</v>
      </c>
      <c r="M1345" t="s">
        <v>21</v>
      </c>
    </row>
    <row r="1346" spans="1:13" x14ac:dyDescent="0.35">
      <c r="A1346" t="str">
        <f>"623-0199"</f>
        <v>623-0199</v>
      </c>
      <c r="B1346" t="s">
        <v>5177</v>
      </c>
      <c r="C1346" t="str">
        <f>"2282"</f>
        <v>2282</v>
      </c>
      <c r="E1346" t="s">
        <v>5178</v>
      </c>
      <c r="F1346" t="s">
        <v>24</v>
      </c>
      <c r="G1346" t="s">
        <v>5179</v>
      </c>
      <c r="H1346" t="s">
        <v>17</v>
      </c>
      <c r="I1346" t="s">
        <v>18</v>
      </c>
      <c r="J1346" t="str">
        <f>"9143169065"</f>
        <v>9143169065</v>
      </c>
      <c r="K1346" t="s">
        <v>5180</v>
      </c>
      <c r="L1346" t="s">
        <v>168</v>
      </c>
      <c r="M1346" t="s">
        <v>21</v>
      </c>
    </row>
    <row r="1347" spans="1:13" x14ac:dyDescent="0.35">
      <c r="A1347" t="str">
        <f>"624-4895"</f>
        <v>624-4895</v>
      </c>
      <c r="B1347" t="s">
        <v>5181</v>
      </c>
      <c r="C1347" t="str">
        <f>"8003"</f>
        <v>8003</v>
      </c>
      <c r="D1347" t="str">
        <f>"A"</f>
        <v>A</v>
      </c>
      <c r="E1347" t="s">
        <v>527</v>
      </c>
      <c r="F1347" t="s">
        <v>24</v>
      </c>
      <c r="G1347" t="s">
        <v>5182</v>
      </c>
      <c r="H1347" t="s">
        <v>17</v>
      </c>
      <c r="I1347" t="s">
        <v>18</v>
      </c>
      <c r="J1347" t="str">
        <f>"4284538353"</f>
        <v>4284538353</v>
      </c>
      <c r="K1347" t="s">
        <v>5183</v>
      </c>
      <c r="L1347" t="s">
        <v>168</v>
      </c>
      <c r="M1347" t="s">
        <v>21</v>
      </c>
    </row>
    <row r="1348" spans="1:13" x14ac:dyDescent="0.35">
      <c r="A1348" t="str">
        <f>"615-1712"</f>
        <v>615-1712</v>
      </c>
      <c r="B1348" t="s">
        <v>5184</v>
      </c>
      <c r="C1348" t="str">
        <f>"130"</f>
        <v>130</v>
      </c>
      <c r="D1348" t="str">
        <f>"301"</f>
        <v>301</v>
      </c>
      <c r="E1348" t="s">
        <v>5185</v>
      </c>
      <c r="F1348" t="s">
        <v>157</v>
      </c>
      <c r="G1348" t="s">
        <v>5186</v>
      </c>
      <c r="H1348" t="s">
        <v>17</v>
      </c>
      <c r="I1348" t="s">
        <v>18</v>
      </c>
      <c r="J1348" t="str">
        <f>"5144656293"</f>
        <v>5144656293</v>
      </c>
      <c r="K1348" t="s">
        <v>5187</v>
      </c>
      <c r="L1348" t="s">
        <v>132</v>
      </c>
      <c r="M1348" t="s">
        <v>21</v>
      </c>
    </row>
    <row r="1349" spans="1:13" x14ac:dyDescent="0.35">
      <c r="A1349" t="str">
        <f>"626-9699"</f>
        <v>626-9699</v>
      </c>
      <c r="B1349" t="s">
        <v>5188</v>
      </c>
      <c r="C1349" t="str">
        <f>"8165"</f>
        <v>8165</v>
      </c>
      <c r="E1349" t="s">
        <v>472</v>
      </c>
      <c r="F1349" t="s">
        <v>24</v>
      </c>
      <c r="G1349" t="s">
        <v>5189</v>
      </c>
      <c r="H1349" t="s">
        <v>17</v>
      </c>
      <c r="I1349" t="s">
        <v>18</v>
      </c>
      <c r="J1349" t="str">
        <f>"4388765626"</f>
        <v>4388765626</v>
      </c>
      <c r="K1349" t="s">
        <v>5190</v>
      </c>
      <c r="L1349" t="s">
        <v>1509</v>
      </c>
      <c r="M1349" t="s">
        <v>21</v>
      </c>
    </row>
    <row r="1350" spans="1:13" x14ac:dyDescent="0.35">
      <c r="A1350" t="str">
        <f>"168-4975"</f>
        <v>168-4975</v>
      </c>
      <c r="B1350" t="s">
        <v>5191</v>
      </c>
      <c r="C1350" t="str">
        <f>"6632"</f>
        <v>6632</v>
      </c>
      <c r="D1350" t="str">
        <f>"4"</f>
        <v>4</v>
      </c>
      <c r="E1350" t="s">
        <v>1892</v>
      </c>
      <c r="F1350" t="s">
        <v>24</v>
      </c>
      <c r="G1350" t="s">
        <v>5192</v>
      </c>
      <c r="H1350" t="s">
        <v>17</v>
      </c>
      <c r="I1350" t="s">
        <v>18</v>
      </c>
      <c r="J1350" t="str">
        <f>"4388761459"</f>
        <v>4388761459</v>
      </c>
      <c r="K1350" t="s">
        <v>5193</v>
      </c>
      <c r="L1350" t="s">
        <v>137</v>
      </c>
      <c r="M1350" t="s">
        <v>21</v>
      </c>
    </row>
    <row r="1351" spans="1:13" x14ac:dyDescent="0.35">
      <c r="A1351" t="str">
        <f>"228-7135"</f>
        <v>228-7135</v>
      </c>
      <c r="B1351" t="s">
        <v>5194</v>
      </c>
      <c r="C1351" t="str">
        <f>"1234"</f>
        <v>1234</v>
      </c>
      <c r="E1351" t="s">
        <v>5195</v>
      </c>
      <c r="F1351" t="s">
        <v>32</v>
      </c>
      <c r="G1351" t="s">
        <v>5196</v>
      </c>
      <c r="H1351" t="s">
        <v>17</v>
      </c>
      <c r="I1351" t="s">
        <v>18</v>
      </c>
      <c r="J1351" t="str">
        <f>"4384397885"</f>
        <v>4384397885</v>
      </c>
      <c r="K1351" t="s">
        <v>5197</v>
      </c>
      <c r="L1351" t="s">
        <v>86</v>
      </c>
      <c r="M1351" t="s">
        <v>21</v>
      </c>
    </row>
    <row r="1352" spans="1:13" x14ac:dyDescent="0.35">
      <c r="A1352" t="str">
        <f>"237-5640"</f>
        <v>237-5640</v>
      </c>
      <c r="B1352" t="s">
        <v>5198</v>
      </c>
      <c r="C1352" t="str">
        <f>"8445"</f>
        <v>8445</v>
      </c>
      <c r="E1352" t="s">
        <v>2081</v>
      </c>
      <c r="F1352" t="s">
        <v>24</v>
      </c>
      <c r="G1352" t="s">
        <v>5199</v>
      </c>
      <c r="H1352" t="s">
        <v>17</v>
      </c>
      <c r="I1352" t="s">
        <v>18</v>
      </c>
      <c r="J1352" t="str">
        <f>"5147676509"</f>
        <v>5147676509</v>
      </c>
      <c r="K1352" t="s">
        <v>5200</v>
      </c>
      <c r="L1352" t="s">
        <v>534</v>
      </c>
      <c r="M1352" t="s">
        <v>21</v>
      </c>
    </row>
    <row r="1353" spans="1:13" x14ac:dyDescent="0.35">
      <c r="A1353" t="str">
        <f>"619-6521"</f>
        <v>619-6521</v>
      </c>
      <c r="B1353" t="s">
        <v>5201</v>
      </c>
      <c r="C1353" t="str">
        <f>"8010"</f>
        <v>8010</v>
      </c>
      <c r="E1353" t="s">
        <v>5202</v>
      </c>
      <c r="F1353" t="s">
        <v>40</v>
      </c>
      <c r="G1353" t="s">
        <v>4481</v>
      </c>
      <c r="H1353" t="s">
        <v>17</v>
      </c>
      <c r="I1353" t="s">
        <v>18</v>
      </c>
      <c r="J1353" t="str">
        <f>"5144525926"</f>
        <v>5144525926</v>
      </c>
      <c r="K1353" t="s">
        <v>5203</v>
      </c>
      <c r="L1353" t="s">
        <v>137</v>
      </c>
      <c r="M1353" t="s">
        <v>21</v>
      </c>
    </row>
    <row r="1354" spans="1:13" x14ac:dyDescent="0.35">
      <c r="A1354" t="str">
        <f>"620-7120"</f>
        <v>620-7120</v>
      </c>
      <c r="B1354" t="s">
        <v>5204</v>
      </c>
      <c r="C1354" t="str">
        <f>"280"</f>
        <v>280</v>
      </c>
      <c r="E1354" t="s">
        <v>455</v>
      </c>
      <c r="F1354" t="s">
        <v>32</v>
      </c>
      <c r="G1354" t="s">
        <v>5205</v>
      </c>
      <c r="H1354" t="s">
        <v>17</v>
      </c>
      <c r="I1354" t="s">
        <v>18</v>
      </c>
      <c r="J1354" t="str">
        <f>"5146028152"</f>
        <v>5146028152</v>
      </c>
      <c r="K1354" t="s">
        <v>5206</v>
      </c>
      <c r="L1354" t="s">
        <v>869</v>
      </c>
      <c r="M1354" t="s">
        <v>21</v>
      </c>
    </row>
    <row r="1355" spans="1:13" x14ac:dyDescent="0.35">
      <c r="A1355" t="str">
        <f>"623-5045"</f>
        <v>623-5045</v>
      </c>
      <c r="B1355" t="s">
        <v>5207</v>
      </c>
      <c r="C1355" t="str">
        <f>"7425"</f>
        <v>7425</v>
      </c>
      <c r="D1355" t="str">
        <f>"211"</f>
        <v>211</v>
      </c>
      <c r="E1355" t="s">
        <v>5208</v>
      </c>
      <c r="F1355" t="s">
        <v>24</v>
      </c>
      <c r="G1355" t="s">
        <v>5209</v>
      </c>
      <c r="H1355" t="s">
        <v>17</v>
      </c>
      <c r="I1355" t="s">
        <v>18</v>
      </c>
      <c r="J1355" t="str">
        <f>"5148127425"</f>
        <v>5148127425</v>
      </c>
      <c r="K1355" t="s">
        <v>5210</v>
      </c>
      <c r="L1355" t="s">
        <v>76</v>
      </c>
      <c r="M1355" t="s">
        <v>21</v>
      </c>
    </row>
    <row r="1356" spans="1:13" x14ac:dyDescent="0.35">
      <c r="A1356" t="str">
        <f>"623-5564"</f>
        <v>623-5564</v>
      </c>
      <c r="B1356" t="s">
        <v>5211</v>
      </c>
      <c r="C1356" t="str">
        <f>"520"</f>
        <v>520</v>
      </c>
      <c r="D1356" t="str">
        <f>"213"</f>
        <v>213</v>
      </c>
      <c r="E1356" t="s">
        <v>2849</v>
      </c>
      <c r="F1356" t="s">
        <v>1348</v>
      </c>
      <c r="G1356" t="s">
        <v>5212</v>
      </c>
      <c r="H1356" t="s">
        <v>17</v>
      </c>
      <c r="I1356" t="s">
        <v>18</v>
      </c>
      <c r="J1356" t="str">
        <f>"5144518510"</f>
        <v>5144518510</v>
      </c>
      <c r="K1356" t="s">
        <v>5213</v>
      </c>
      <c r="L1356" t="s">
        <v>76</v>
      </c>
      <c r="M1356" t="s">
        <v>21</v>
      </c>
    </row>
    <row r="1357" spans="1:13" x14ac:dyDescent="0.35">
      <c r="A1357" t="str">
        <f>"239-1810"</f>
        <v>239-1810</v>
      </c>
      <c r="B1357" t="s">
        <v>5214</v>
      </c>
      <c r="C1357" t="str">
        <f>"2095"</f>
        <v>2095</v>
      </c>
      <c r="D1357" t="str">
        <f>"2095"</f>
        <v>2095</v>
      </c>
      <c r="E1357" t="s">
        <v>5215</v>
      </c>
      <c r="F1357" t="s">
        <v>54</v>
      </c>
      <c r="G1357" t="s">
        <v>5216</v>
      </c>
      <c r="H1357" t="s">
        <v>17</v>
      </c>
      <c r="I1357" t="s">
        <v>18</v>
      </c>
      <c r="J1357" t="str">
        <f>"4388801479"</f>
        <v>4388801479</v>
      </c>
      <c r="K1357" t="s">
        <v>5217</v>
      </c>
      <c r="L1357" t="s">
        <v>86</v>
      </c>
      <c r="M1357" t="s">
        <v>21</v>
      </c>
    </row>
    <row r="1358" spans="1:13" x14ac:dyDescent="0.35">
      <c r="A1358" t="str">
        <f>"622-5679"</f>
        <v>622-5679</v>
      </c>
      <c r="B1358" t="s">
        <v>5218</v>
      </c>
      <c r="C1358" t="str">
        <f>"764"</f>
        <v>764</v>
      </c>
      <c r="D1358" t="str">
        <f>"622567"</f>
        <v>622567</v>
      </c>
      <c r="E1358" t="s">
        <v>5219</v>
      </c>
      <c r="F1358" t="s">
        <v>24</v>
      </c>
      <c r="G1358" t="s">
        <v>5220</v>
      </c>
      <c r="H1358" t="s">
        <v>17</v>
      </c>
      <c r="I1358" t="s">
        <v>18</v>
      </c>
      <c r="J1358" t="str">
        <f>"5145947983"</f>
        <v>5145947983</v>
      </c>
      <c r="K1358" t="s">
        <v>5221</v>
      </c>
      <c r="L1358" t="s">
        <v>137</v>
      </c>
      <c r="M1358" t="s">
        <v>21</v>
      </c>
    </row>
    <row r="1359" spans="1:13" x14ac:dyDescent="0.35">
      <c r="A1359" t="str">
        <f>"622-6379"</f>
        <v>622-6379</v>
      </c>
      <c r="B1359" t="s">
        <v>5222</v>
      </c>
      <c r="C1359" t="str">
        <f>"5623"</f>
        <v>5623</v>
      </c>
      <c r="E1359" t="s">
        <v>5223</v>
      </c>
      <c r="F1359" t="s">
        <v>24</v>
      </c>
      <c r="G1359" t="s">
        <v>5224</v>
      </c>
      <c r="H1359" t="s">
        <v>17</v>
      </c>
      <c r="I1359" t="s">
        <v>18</v>
      </c>
      <c r="J1359" t="str">
        <f>"5145822463"</f>
        <v>5145822463</v>
      </c>
      <c r="K1359" t="s">
        <v>5225</v>
      </c>
      <c r="L1359" t="s">
        <v>396</v>
      </c>
      <c r="M1359" t="s">
        <v>21</v>
      </c>
    </row>
    <row r="1360" spans="1:13" x14ac:dyDescent="0.35">
      <c r="A1360" t="str">
        <f>"624-9789"</f>
        <v>624-9789</v>
      </c>
      <c r="B1360" t="s">
        <v>5226</v>
      </c>
      <c r="C1360" t="str">
        <f>"11129"</f>
        <v>11129</v>
      </c>
      <c r="E1360" t="s">
        <v>3263</v>
      </c>
      <c r="F1360" t="s">
        <v>24</v>
      </c>
      <c r="G1360" t="s">
        <v>5227</v>
      </c>
      <c r="H1360" t="s">
        <v>17</v>
      </c>
      <c r="I1360" t="s">
        <v>18</v>
      </c>
      <c r="J1360" t="str">
        <f>"5148141724"</f>
        <v>5148141724</v>
      </c>
      <c r="K1360" t="s">
        <v>5228</v>
      </c>
      <c r="L1360" t="s">
        <v>220</v>
      </c>
      <c r="M1360" t="s">
        <v>21</v>
      </c>
    </row>
    <row r="1361" spans="1:13" x14ac:dyDescent="0.35">
      <c r="A1361" t="str">
        <f>"624-9850"</f>
        <v>624-9850</v>
      </c>
      <c r="B1361" t="s">
        <v>5229</v>
      </c>
      <c r="C1361" t="str">
        <f>"4655"</f>
        <v>4655</v>
      </c>
      <c r="D1361" t="str">
        <f>"1"</f>
        <v>1</v>
      </c>
      <c r="E1361" t="s">
        <v>1689</v>
      </c>
      <c r="F1361" t="s">
        <v>24</v>
      </c>
      <c r="G1361" t="s">
        <v>5230</v>
      </c>
      <c r="H1361" t="s">
        <v>17</v>
      </c>
      <c r="I1361" t="s">
        <v>18</v>
      </c>
      <c r="J1361" t="str">
        <f>"5148055702"</f>
        <v>5148055702</v>
      </c>
      <c r="K1361" t="s">
        <v>5231</v>
      </c>
      <c r="L1361" t="s">
        <v>137</v>
      </c>
      <c r="M1361" t="s">
        <v>21</v>
      </c>
    </row>
    <row r="1362" spans="1:13" x14ac:dyDescent="0.35">
      <c r="A1362" t="str">
        <f>"625-0032"</f>
        <v>625-0032</v>
      </c>
      <c r="B1362" t="s">
        <v>5232</v>
      </c>
      <c r="C1362" t="str">
        <f>"6020"</f>
        <v>6020</v>
      </c>
      <c r="E1362" t="s">
        <v>5233</v>
      </c>
      <c r="F1362" t="s">
        <v>24</v>
      </c>
      <c r="G1362" t="s">
        <v>5234</v>
      </c>
      <c r="H1362" t="s">
        <v>17</v>
      </c>
      <c r="I1362" t="s">
        <v>18</v>
      </c>
      <c r="J1362" t="str">
        <f>"5149749142"</f>
        <v>5149749142</v>
      </c>
      <c r="K1362" t="s">
        <v>5235</v>
      </c>
      <c r="L1362" t="s">
        <v>869</v>
      </c>
      <c r="M1362" t="s">
        <v>21</v>
      </c>
    </row>
    <row r="1363" spans="1:13" x14ac:dyDescent="0.35">
      <c r="A1363" t="str">
        <f>"625-0926"</f>
        <v>625-0926</v>
      </c>
      <c r="B1363" t="s">
        <v>5236</v>
      </c>
      <c r="C1363" t="str">
        <f>"6288"</f>
        <v>6288</v>
      </c>
      <c r="E1363" t="s">
        <v>129</v>
      </c>
      <c r="F1363" t="s">
        <v>24</v>
      </c>
      <c r="G1363" t="s">
        <v>5237</v>
      </c>
      <c r="H1363" t="s">
        <v>17</v>
      </c>
      <c r="I1363" t="s">
        <v>18</v>
      </c>
      <c r="J1363" t="str">
        <f>"4389903844"</f>
        <v>4389903844</v>
      </c>
      <c r="K1363" t="s">
        <v>5238</v>
      </c>
      <c r="L1363" t="s">
        <v>86</v>
      </c>
      <c r="M1363" t="s">
        <v>21</v>
      </c>
    </row>
    <row r="1364" spans="1:13" x14ac:dyDescent="0.35">
      <c r="A1364" t="str">
        <f>"625-5071"</f>
        <v>625-5071</v>
      </c>
      <c r="B1364" t="s">
        <v>5239</v>
      </c>
      <c r="C1364" t="str">
        <f>"6025"</f>
        <v>6025</v>
      </c>
      <c r="E1364" t="s">
        <v>1660</v>
      </c>
      <c r="F1364" t="s">
        <v>24</v>
      </c>
      <c r="G1364" t="s">
        <v>1865</v>
      </c>
      <c r="H1364" t="s">
        <v>17</v>
      </c>
      <c r="I1364" t="s">
        <v>18</v>
      </c>
      <c r="J1364" t="str">
        <f>"4382291006"</f>
        <v>4382291006</v>
      </c>
      <c r="K1364" t="s">
        <v>5240</v>
      </c>
      <c r="L1364" t="s">
        <v>76</v>
      </c>
      <c r="M1364" t="s">
        <v>21</v>
      </c>
    </row>
    <row r="1365" spans="1:13" x14ac:dyDescent="0.35">
      <c r="A1365" t="str">
        <f>"148-2594"</f>
        <v>148-2594</v>
      </c>
      <c r="B1365" t="s">
        <v>5241</v>
      </c>
      <c r="C1365" t="str">
        <f>"6732"</f>
        <v>6732</v>
      </c>
      <c r="E1365" t="s">
        <v>385</v>
      </c>
      <c r="F1365" t="s">
        <v>24</v>
      </c>
      <c r="G1365" t="s">
        <v>5242</v>
      </c>
      <c r="H1365" t="s">
        <v>17</v>
      </c>
      <c r="I1365" t="s">
        <v>18</v>
      </c>
      <c r="J1365" t="str">
        <f>"5146323547"</f>
        <v>5146323547</v>
      </c>
      <c r="K1365" t="s">
        <v>5243</v>
      </c>
      <c r="L1365" t="s">
        <v>86</v>
      </c>
      <c r="M1365" t="s">
        <v>21</v>
      </c>
    </row>
    <row r="1366" spans="1:13" x14ac:dyDescent="0.35">
      <c r="A1366" t="str">
        <f>"208-7282"</f>
        <v>208-7282</v>
      </c>
      <c r="B1366" t="s">
        <v>5244</v>
      </c>
      <c r="C1366" t="str">
        <f>"8879"</f>
        <v>8879</v>
      </c>
      <c r="E1366" t="s">
        <v>2313</v>
      </c>
      <c r="F1366" t="s">
        <v>24</v>
      </c>
      <c r="G1366" t="s">
        <v>5245</v>
      </c>
      <c r="H1366" t="s">
        <v>17</v>
      </c>
      <c r="I1366" t="s">
        <v>18</v>
      </c>
      <c r="J1366" t="str">
        <f>"4386302210"</f>
        <v>4386302210</v>
      </c>
      <c r="K1366" t="s">
        <v>5246</v>
      </c>
      <c r="L1366" t="s">
        <v>220</v>
      </c>
      <c r="M1366" t="s">
        <v>21</v>
      </c>
    </row>
    <row r="1367" spans="1:13" x14ac:dyDescent="0.35">
      <c r="A1367" t="str">
        <f>"218-9065"</f>
        <v>218-9065</v>
      </c>
      <c r="B1367" t="s">
        <v>5247</v>
      </c>
      <c r="C1367" t="str">
        <f>"3460"</f>
        <v>3460</v>
      </c>
      <c r="E1367" t="s">
        <v>2726</v>
      </c>
      <c r="F1367" t="s">
        <v>24</v>
      </c>
      <c r="G1367" t="s">
        <v>5248</v>
      </c>
      <c r="H1367" t="s">
        <v>17</v>
      </c>
      <c r="I1367" t="s">
        <v>18</v>
      </c>
      <c r="J1367" t="str">
        <f>"4389242482"</f>
        <v>4389242482</v>
      </c>
      <c r="K1367" t="s">
        <v>5249</v>
      </c>
      <c r="L1367" t="s">
        <v>869</v>
      </c>
      <c r="M1367" t="s">
        <v>21</v>
      </c>
    </row>
    <row r="1368" spans="1:13" x14ac:dyDescent="0.35">
      <c r="A1368" t="str">
        <f>"237-7340"</f>
        <v>237-7340</v>
      </c>
      <c r="B1368" t="s">
        <v>5250</v>
      </c>
      <c r="C1368" t="str">
        <f>"5829"</f>
        <v>5829</v>
      </c>
      <c r="E1368" t="s">
        <v>694</v>
      </c>
      <c r="F1368" t="s">
        <v>24</v>
      </c>
      <c r="G1368" t="s">
        <v>3640</v>
      </c>
      <c r="H1368" t="s">
        <v>17</v>
      </c>
      <c r="I1368" t="s">
        <v>18</v>
      </c>
      <c r="J1368" t="str">
        <f>"4383682686"</f>
        <v>4383682686</v>
      </c>
      <c r="K1368" t="s">
        <v>5251</v>
      </c>
      <c r="L1368" t="s">
        <v>86</v>
      </c>
      <c r="M1368" t="s">
        <v>21</v>
      </c>
    </row>
    <row r="1369" spans="1:13" x14ac:dyDescent="0.35">
      <c r="A1369" t="str">
        <f>"237-2350"</f>
        <v>237-2350</v>
      </c>
      <c r="B1369" t="s">
        <v>5253</v>
      </c>
      <c r="C1369" t="str">
        <f>"6015"</f>
        <v>6015</v>
      </c>
      <c r="E1369" t="s">
        <v>527</v>
      </c>
      <c r="F1369" t="s">
        <v>24</v>
      </c>
      <c r="G1369" t="s">
        <v>5254</v>
      </c>
      <c r="H1369" t="s">
        <v>17</v>
      </c>
      <c r="I1369" t="s">
        <v>18</v>
      </c>
      <c r="J1369" t="str">
        <f>"5142730660"</f>
        <v>5142730660</v>
      </c>
      <c r="K1369" t="s">
        <v>5255</v>
      </c>
      <c r="L1369" t="s">
        <v>76</v>
      </c>
      <c r="M1369" t="s">
        <v>21</v>
      </c>
    </row>
    <row r="1370" spans="1:13" x14ac:dyDescent="0.35">
      <c r="A1370" t="str">
        <f>"237-4179"</f>
        <v>237-4179</v>
      </c>
      <c r="B1370" t="s">
        <v>5256</v>
      </c>
      <c r="C1370" t="str">
        <f>"222"</f>
        <v>222</v>
      </c>
      <c r="D1370" t="str">
        <f>"3"</f>
        <v>3</v>
      </c>
      <c r="E1370" t="s">
        <v>5257</v>
      </c>
      <c r="F1370" t="s">
        <v>4868</v>
      </c>
      <c r="G1370" t="s">
        <v>5258</v>
      </c>
      <c r="H1370" t="s">
        <v>17</v>
      </c>
      <c r="I1370" t="s">
        <v>18</v>
      </c>
      <c r="J1370" t="str">
        <f>"5148131805"</f>
        <v>5148131805</v>
      </c>
      <c r="K1370" t="s">
        <v>5259</v>
      </c>
      <c r="L1370" t="s">
        <v>76</v>
      </c>
      <c r="M1370" t="s">
        <v>21</v>
      </c>
    </row>
    <row r="1371" spans="1:13" x14ac:dyDescent="0.35">
      <c r="A1371" t="str">
        <f>"623-3156"</f>
        <v>623-3156</v>
      </c>
      <c r="B1371" t="s">
        <v>5260</v>
      </c>
      <c r="C1371" t="str">
        <f>"7321"</f>
        <v>7321</v>
      </c>
      <c r="E1371" t="s">
        <v>1494</v>
      </c>
      <c r="F1371" t="s">
        <v>24</v>
      </c>
      <c r="G1371" t="s">
        <v>5261</v>
      </c>
      <c r="H1371" t="s">
        <v>17</v>
      </c>
      <c r="I1371" t="s">
        <v>18</v>
      </c>
      <c r="J1371" t="str">
        <f>"4383894858"</f>
        <v>4383894858</v>
      </c>
      <c r="K1371" t="s">
        <v>5262</v>
      </c>
      <c r="L1371" t="s">
        <v>869</v>
      </c>
      <c r="M1371" t="s">
        <v>21</v>
      </c>
    </row>
    <row r="1372" spans="1:13" x14ac:dyDescent="0.35">
      <c r="A1372" t="str">
        <f>"623-3491"</f>
        <v>623-3491</v>
      </c>
      <c r="B1372" t="s">
        <v>5263</v>
      </c>
      <c r="C1372" t="str">
        <f>"8754"</f>
        <v>8754</v>
      </c>
      <c r="E1372" t="s">
        <v>5264</v>
      </c>
      <c r="F1372" t="s">
        <v>24</v>
      </c>
      <c r="G1372" t="s">
        <v>5265</v>
      </c>
      <c r="H1372" t="s">
        <v>17</v>
      </c>
      <c r="I1372" t="s">
        <v>18</v>
      </c>
      <c r="J1372" t="str">
        <f>"5149726214"</f>
        <v>5149726214</v>
      </c>
      <c r="K1372" t="s">
        <v>5266</v>
      </c>
      <c r="L1372" t="s">
        <v>869</v>
      </c>
      <c r="M1372" t="s">
        <v>21</v>
      </c>
    </row>
    <row r="1373" spans="1:13" x14ac:dyDescent="0.35">
      <c r="A1373" t="str">
        <f>"623-3637"</f>
        <v>623-3637</v>
      </c>
      <c r="B1373" t="s">
        <v>5267</v>
      </c>
      <c r="C1373" t="str">
        <f>"1770"</f>
        <v>1770</v>
      </c>
      <c r="D1373" t="str">
        <f>"1417"</f>
        <v>1417</v>
      </c>
      <c r="E1373" t="s">
        <v>5268</v>
      </c>
      <c r="F1373" t="s">
        <v>24</v>
      </c>
      <c r="G1373" t="s">
        <v>5269</v>
      </c>
      <c r="H1373" t="s">
        <v>17</v>
      </c>
      <c r="I1373" t="s">
        <v>18</v>
      </c>
      <c r="J1373" t="str">
        <f>"5148984400"</f>
        <v>5148984400</v>
      </c>
      <c r="K1373" t="s">
        <v>5270</v>
      </c>
      <c r="L1373" t="s">
        <v>220</v>
      </c>
      <c r="M1373" t="s">
        <v>21</v>
      </c>
    </row>
    <row r="1374" spans="1:13" x14ac:dyDescent="0.35">
      <c r="A1374" t="str">
        <f>"625-9282"</f>
        <v>625-9282</v>
      </c>
      <c r="B1374" t="s">
        <v>5271</v>
      </c>
      <c r="C1374" t="str">
        <f>"8076"</f>
        <v>8076</v>
      </c>
      <c r="E1374" t="s">
        <v>4900</v>
      </c>
      <c r="F1374" t="s">
        <v>40</v>
      </c>
      <c r="G1374" t="s">
        <v>4901</v>
      </c>
      <c r="H1374" t="s">
        <v>17</v>
      </c>
      <c r="I1374" t="s">
        <v>18</v>
      </c>
      <c r="J1374" t="str">
        <f>"4385284986"</f>
        <v>4385284986</v>
      </c>
      <c r="K1374" t="s">
        <v>5272</v>
      </c>
      <c r="L1374" t="s">
        <v>76</v>
      </c>
      <c r="M1374" t="s">
        <v>21</v>
      </c>
    </row>
    <row r="1375" spans="1:13" x14ac:dyDescent="0.35">
      <c r="A1375" t="str">
        <f>"625-9307"</f>
        <v>625-9307</v>
      </c>
      <c r="B1375" t="s">
        <v>5273</v>
      </c>
      <c r="C1375" t="str">
        <f>"7170"</f>
        <v>7170</v>
      </c>
      <c r="E1375" t="s">
        <v>1352</v>
      </c>
      <c r="F1375" t="s">
        <v>24</v>
      </c>
      <c r="G1375" t="s">
        <v>5274</v>
      </c>
      <c r="H1375" t="s">
        <v>17</v>
      </c>
      <c r="I1375" t="s">
        <v>18</v>
      </c>
      <c r="J1375" t="str">
        <f>"4383724616"</f>
        <v>4383724616</v>
      </c>
      <c r="K1375" t="s">
        <v>5275</v>
      </c>
      <c r="L1375" t="s">
        <v>137</v>
      </c>
      <c r="M1375" t="s">
        <v>21</v>
      </c>
    </row>
    <row r="1376" spans="1:13" x14ac:dyDescent="0.35">
      <c r="A1376" t="str">
        <f>"624-1443"</f>
        <v>624-1443</v>
      </c>
      <c r="B1376" t="s">
        <v>5277</v>
      </c>
      <c r="C1376" t="str">
        <f>"2681"</f>
        <v>2681</v>
      </c>
      <c r="D1376" t="str">
        <f>"3"</f>
        <v>3</v>
      </c>
      <c r="E1376" t="s">
        <v>531</v>
      </c>
      <c r="F1376" t="s">
        <v>24</v>
      </c>
      <c r="G1376" t="s">
        <v>3292</v>
      </c>
      <c r="H1376" t="s">
        <v>17</v>
      </c>
      <c r="I1376" t="s">
        <v>18</v>
      </c>
      <c r="J1376" t="str">
        <f>"4383089302"</f>
        <v>4383089302</v>
      </c>
      <c r="K1376" t="s">
        <v>5278</v>
      </c>
      <c r="L1376" t="s">
        <v>396</v>
      </c>
      <c r="M1376" t="s">
        <v>21</v>
      </c>
    </row>
    <row r="1377" spans="1:13" x14ac:dyDescent="0.35">
      <c r="A1377" t="str">
        <f>"624-2243"</f>
        <v>624-2243</v>
      </c>
      <c r="B1377" t="s">
        <v>5279</v>
      </c>
      <c r="C1377" t="str">
        <f>"2125"</f>
        <v>2125</v>
      </c>
      <c r="E1377" t="s">
        <v>5280</v>
      </c>
      <c r="F1377" t="s">
        <v>24</v>
      </c>
      <c r="G1377" t="s">
        <v>5281</v>
      </c>
      <c r="H1377" t="s">
        <v>17</v>
      </c>
      <c r="I1377" t="s">
        <v>18</v>
      </c>
      <c r="J1377" t="str">
        <f>"4385259463"</f>
        <v>4385259463</v>
      </c>
      <c r="K1377" t="s">
        <v>5282</v>
      </c>
      <c r="L1377" t="s">
        <v>396</v>
      </c>
      <c r="M1377" t="s">
        <v>21</v>
      </c>
    </row>
    <row r="1378" spans="1:13" x14ac:dyDescent="0.35">
      <c r="A1378" t="str">
        <f>"624-8649"</f>
        <v>624-8649</v>
      </c>
      <c r="B1378" t="s">
        <v>5283</v>
      </c>
      <c r="C1378" t="str">
        <f>"5000"</f>
        <v>5000</v>
      </c>
      <c r="D1378" t="str">
        <f>"1012"</f>
        <v>1012</v>
      </c>
      <c r="E1378" t="s">
        <v>3910</v>
      </c>
      <c r="F1378" t="s">
        <v>24</v>
      </c>
      <c r="G1378" t="s">
        <v>5284</v>
      </c>
      <c r="H1378" t="s">
        <v>17</v>
      </c>
      <c r="I1378" t="s">
        <v>18</v>
      </c>
      <c r="J1378" t="str">
        <f>"5146099432"</f>
        <v>5146099432</v>
      </c>
      <c r="K1378" t="s">
        <v>5285</v>
      </c>
      <c r="L1378" t="s">
        <v>86</v>
      </c>
      <c r="M1378" t="s">
        <v>21</v>
      </c>
    </row>
    <row r="1379" spans="1:13" x14ac:dyDescent="0.35">
      <c r="A1379" t="str">
        <f>"626-6366"</f>
        <v>626-6366</v>
      </c>
      <c r="B1379" t="s">
        <v>5286</v>
      </c>
      <c r="C1379" t="str">
        <f>"10540"</f>
        <v>10540</v>
      </c>
      <c r="E1379" t="s">
        <v>5287</v>
      </c>
      <c r="F1379" t="s">
        <v>24</v>
      </c>
      <c r="G1379" t="s">
        <v>5288</v>
      </c>
      <c r="H1379" t="s">
        <v>17</v>
      </c>
      <c r="I1379" t="s">
        <v>18</v>
      </c>
      <c r="J1379" t="str">
        <f>"5147042794"</f>
        <v>5147042794</v>
      </c>
      <c r="K1379" t="s">
        <v>5289</v>
      </c>
      <c r="L1379" t="s">
        <v>39</v>
      </c>
      <c r="M1379" t="s">
        <v>21</v>
      </c>
    </row>
    <row r="1380" spans="1:13" x14ac:dyDescent="0.35">
      <c r="A1380" t="str">
        <f>"626-7115"</f>
        <v>626-7115</v>
      </c>
      <c r="B1380" t="s">
        <v>5290</v>
      </c>
      <c r="C1380" t="str">
        <f>"9460"</f>
        <v>9460</v>
      </c>
      <c r="D1380" t="str">
        <f>"5"</f>
        <v>5</v>
      </c>
      <c r="E1380" t="s">
        <v>5291</v>
      </c>
      <c r="F1380" t="s">
        <v>24</v>
      </c>
      <c r="G1380" t="s">
        <v>5292</v>
      </c>
      <c r="H1380" t="s">
        <v>17</v>
      </c>
      <c r="I1380" t="s">
        <v>18</v>
      </c>
      <c r="J1380" t="str">
        <f>"5146188240"</f>
        <v>5146188240</v>
      </c>
      <c r="K1380" t="s">
        <v>5293</v>
      </c>
      <c r="L1380" t="s">
        <v>39</v>
      </c>
      <c r="M1380" t="s">
        <v>21</v>
      </c>
    </row>
    <row r="1381" spans="1:13" x14ac:dyDescent="0.35">
      <c r="A1381" t="str">
        <f>"622-2016"</f>
        <v>622-2016</v>
      </c>
      <c r="B1381" t="s">
        <v>5294</v>
      </c>
      <c r="C1381" t="str">
        <f>"1351"</f>
        <v>1351</v>
      </c>
      <c r="E1381" t="s">
        <v>865</v>
      </c>
      <c r="F1381" t="s">
        <v>866</v>
      </c>
      <c r="G1381" t="s">
        <v>5295</v>
      </c>
      <c r="H1381" t="s">
        <v>17</v>
      </c>
      <c r="I1381" t="s">
        <v>18</v>
      </c>
      <c r="J1381" t="str">
        <f>"4382297368"</f>
        <v>4382297368</v>
      </c>
      <c r="K1381" t="s">
        <v>5296</v>
      </c>
      <c r="L1381" t="s">
        <v>534</v>
      </c>
      <c r="M1381" t="s">
        <v>21</v>
      </c>
    </row>
    <row r="1382" spans="1:13" x14ac:dyDescent="0.35">
      <c r="A1382" t="str">
        <f>"622-2407"</f>
        <v>622-2407</v>
      </c>
      <c r="B1382" t="s">
        <v>5297</v>
      </c>
      <c r="C1382" t="str">
        <f>"7283"</f>
        <v>7283</v>
      </c>
      <c r="E1382" t="s">
        <v>3542</v>
      </c>
      <c r="F1382" t="s">
        <v>24</v>
      </c>
      <c r="G1382" t="s">
        <v>2702</v>
      </c>
      <c r="H1382" t="s">
        <v>17</v>
      </c>
      <c r="I1382" t="s">
        <v>18</v>
      </c>
      <c r="J1382" t="str">
        <f>"4383853785"</f>
        <v>4383853785</v>
      </c>
      <c r="K1382" t="s">
        <v>5298</v>
      </c>
      <c r="L1382" t="s">
        <v>220</v>
      </c>
      <c r="M1382" t="s">
        <v>21</v>
      </c>
    </row>
    <row r="1383" spans="1:13" x14ac:dyDescent="0.35">
      <c r="A1383" t="str">
        <f>"622-2746"</f>
        <v>622-2746</v>
      </c>
      <c r="B1383" t="s">
        <v>5299</v>
      </c>
      <c r="C1383" t="str">
        <f>"100"</f>
        <v>100</v>
      </c>
      <c r="E1383" t="s">
        <v>5300</v>
      </c>
      <c r="F1383" t="s">
        <v>54</v>
      </c>
      <c r="G1383" t="s">
        <v>5301</v>
      </c>
      <c r="H1383" t="s">
        <v>17</v>
      </c>
      <c r="I1383" t="s">
        <v>18</v>
      </c>
      <c r="J1383" t="str">
        <f>"4385036676"</f>
        <v>4385036676</v>
      </c>
      <c r="K1383" t="s">
        <v>5302</v>
      </c>
      <c r="L1383" t="s">
        <v>76</v>
      </c>
      <c r="M1383" t="s">
        <v>21</v>
      </c>
    </row>
    <row r="1384" spans="1:13" x14ac:dyDescent="0.35">
      <c r="A1384" t="str">
        <f>"622-4513"</f>
        <v>622-4513</v>
      </c>
      <c r="B1384" t="s">
        <v>5303</v>
      </c>
      <c r="C1384" t="str">
        <f>"945"</f>
        <v>945</v>
      </c>
      <c r="D1384" t="str">
        <f>"622451"</f>
        <v>622451</v>
      </c>
      <c r="E1384" t="s">
        <v>931</v>
      </c>
      <c r="F1384" t="s">
        <v>54</v>
      </c>
      <c r="G1384" t="s">
        <v>5304</v>
      </c>
      <c r="H1384" t="s">
        <v>17</v>
      </c>
      <c r="I1384" t="s">
        <v>18</v>
      </c>
      <c r="J1384" t="str">
        <f>"5142606430"</f>
        <v>5142606430</v>
      </c>
      <c r="K1384" t="s">
        <v>5305</v>
      </c>
      <c r="L1384" t="s">
        <v>132</v>
      </c>
      <c r="M1384" t="s">
        <v>21</v>
      </c>
    </row>
    <row r="1385" spans="1:13" x14ac:dyDescent="0.35">
      <c r="A1385" t="str">
        <f>"623-0903"</f>
        <v>623-0903</v>
      </c>
      <c r="B1385" t="s">
        <v>5306</v>
      </c>
      <c r="C1385" t="str">
        <f>"6832"</f>
        <v>6832</v>
      </c>
      <c r="D1385" t="str">
        <f>"204"</f>
        <v>204</v>
      </c>
      <c r="E1385" t="s">
        <v>3884</v>
      </c>
      <c r="F1385" t="s">
        <v>24</v>
      </c>
      <c r="G1385" t="s">
        <v>5307</v>
      </c>
      <c r="H1385" t="s">
        <v>17</v>
      </c>
      <c r="I1385" t="s">
        <v>18</v>
      </c>
      <c r="J1385" t="str">
        <f>"5149748260"</f>
        <v>5149748260</v>
      </c>
      <c r="K1385" t="s">
        <v>5308</v>
      </c>
      <c r="L1385" t="s">
        <v>76</v>
      </c>
      <c r="M1385" t="s">
        <v>21</v>
      </c>
    </row>
    <row r="1386" spans="1:13" x14ac:dyDescent="0.35">
      <c r="A1386" t="str">
        <f>"623-1309"</f>
        <v>623-1309</v>
      </c>
      <c r="B1386" t="s">
        <v>5309</v>
      </c>
      <c r="C1386" t="str">
        <f>"3089"</f>
        <v>3089</v>
      </c>
      <c r="E1386" t="s">
        <v>5310</v>
      </c>
      <c r="F1386" t="s">
        <v>5311</v>
      </c>
      <c r="G1386" t="s">
        <v>5312</v>
      </c>
      <c r="H1386" t="s">
        <v>17</v>
      </c>
      <c r="I1386" t="s">
        <v>18</v>
      </c>
      <c r="J1386" t="str">
        <f>"4384965341"</f>
        <v>4384965341</v>
      </c>
      <c r="K1386" t="s">
        <v>5313</v>
      </c>
      <c r="L1386" t="s">
        <v>29</v>
      </c>
      <c r="M1386" t="s">
        <v>21</v>
      </c>
    </row>
    <row r="1387" spans="1:13" x14ac:dyDescent="0.35">
      <c r="A1387" t="str">
        <f>"623-2147"</f>
        <v>623-2147</v>
      </c>
      <c r="B1387" t="s">
        <v>5314</v>
      </c>
      <c r="C1387" t="str">
        <f>"12441"</f>
        <v>12441</v>
      </c>
      <c r="D1387" t="str">
        <f>"9"</f>
        <v>9</v>
      </c>
      <c r="E1387" t="s">
        <v>5315</v>
      </c>
      <c r="F1387" t="s">
        <v>24</v>
      </c>
      <c r="G1387" t="s">
        <v>5316</v>
      </c>
      <c r="H1387" t="s">
        <v>17</v>
      </c>
      <c r="I1387" t="s">
        <v>18</v>
      </c>
      <c r="J1387" t="str">
        <f>"5145153851"</f>
        <v>5145153851</v>
      </c>
      <c r="K1387" t="s">
        <v>5317</v>
      </c>
      <c r="L1387" t="s">
        <v>76</v>
      </c>
      <c r="M1387" t="s">
        <v>21</v>
      </c>
    </row>
    <row r="1388" spans="1:13" x14ac:dyDescent="0.35">
      <c r="A1388" t="str">
        <f>"623-2232"</f>
        <v>623-2232</v>
      </c>
      <c r="B1388" t="s">
        <v>5318</v>
      </c>
      <c r="C1388" t="str">
        <f>"1416"</f>
        <v>1416</v>
      </c>
      <c r="E1388" t="s">
        <v>5319</v>
      </c>
      <c r="F1388" t="s">
        <v>24</v>
      </c>
      <c r="G1388" t="s">
        <v>5320</v>
      </c>
      <c r="H1388" t="s">
        <v>17</v>
      </c>
      <c r="I1388" t="s">
        <v>18</v>
      </c>
      <c r="J1388" t="str">
        <f>"4384626180"</f>
        <v>4384626180</v>
      </c>
      <c r="K1388" t="s">
        <v>5321</v>
      </c>
      <c r="L1388" t="s">
        <v>137</v>
      </c>
      <c r="M1388" t="s">
        <v>21</v>
      </c>
    </row>
    <row r="1389" spans="1:13" x14ac:dyDescent="0.35">
      <c r="A1389" t="str">
        <f>"625-3731"</f>
        <v>625-3731</v>
      </c>
      <c r="B1389" t="s">
        <v>5322</v>
      </c>
      <c r="C1389" t="str">
        <f>"300"</f>
        <v>300</v>
      </c>
      <c r="D1389" t="str">
        <f>"210"</f>
        <v>210</v>
      </c>
      <c r="E1389" t="s">
        <v>5323</v>
      </c>
      <c r="F1389" t="s">
        <v>24</v>
      </c>
      <c r="G1389" t="s">
        <v>5324</v>
      </c>
      <c r="H1389" t="s">
        <v>17</v>
      </c>
      <c r="I1389" t="s">
        <v>18</v>
      </c>
      <c r="J1389" t="str">
        <f>"5146771983"</f>
        <v>5146771983</v>
      </c>
      <c r="K1389" t="s">
        <v>5325</v>
      </c>
      <c r="L1389" t="s">
        <v>76</v>
      </c>
      <c r="M1389" t="s">
        <v>21</v>
      </c>
    </row>
    <row r="1390" spans="1:13" x14ac:dyDescent="0.35">
      <c r="A1390" t="str">
        <f>"625-4350"</f>
        <v>625-4350</v>
      </c>
      <c r="B1390" t="s">
        <v>5326</v>
      </c>
      <c r="C1390" t="str">
        <f>"6762"</f>
        <v>6762</v>
      </c>
      <c r="E1390" t="s">
        <v>1557</v>
      </c>
      <c r="F1390" t="s">
        <v>24</v>
      </c>
      <c r="G1390" t="s">
        <v>5327</v>
      </c>
      <c r="H1390" t="s">
        <v>17</v>
      </c>
      <c r="I1390" t="s">
        <v>18</v>
      </c>
      <c r="J1390" t="str">
        <f>"4383769375"</f>
        <v>4383769375</v>
      </c>
      <c r="K1390" t="s">
        <v>5328</v>
      </c>
      <c r="L1390" t="s">
        <v>76</v>
      </c>
      <c r="M1390" t="s">
        <v>21</v>
      </c>
    </row>
    <row r="1391" spans="1:13" x14ac:dyDescent="0.35">
      <c r="A1391" t="str">
        <f>"625-8340"</f>
        <v>625-8340</v>
      </c>
      <c r="B1391" t="s">
        <v>5329</v>
      </c>
      <c r="C1391" t="str">
        <f>"5542"</f>
        <v>5542</v>
      </c>
      <c r="E1391" t="s">
        <v>5330</v>
      </c>
      <c r="F1391" t="s">
        <v>24</v>
      </c>
      <c r="G1391" t="s">
        <v>5331</v>
      </c>
      <c r="H1391" t="s">
        <v>17</v>
      </c>
      <c r="I1391" t="s">
        <v>18</v>
      </c>
      <c r="J1391" t="str">
        <f>"5147466858"</f>
        <v>5147466858</v>
      </c>
      <c r="K1391" t="s">
        <v>5332</v>
      </c>
      <c r="L1391" t="s">
        <v>76</v>
      </c>
      <c r="M1391" t="s">
        <v>21</v>
      </c>
    </row>
    <row r="1392" spans="1:13" x14ac:dyDescent="0.35">
      <c r="A1392" t="str">
        <f>"626-9202"</f>
        <v>626-9202</v>
      </c>
      <c r="B1392" t="s">
        <v>5333</v>
      </c>
      <c r="C1392" t="str">
        <f>"02"</f>
        <v>02</v>
      </c>
      <c r="E1392" t="s">
        <v>5334</v>
      </c>
      <c r="F1392" t="s">
        <v>2174</v>
      </c>
      <c r="G1392" t="s">
        <v>5335</v>
      </c>
      <c r="H1392" t="s">
        <v>17</v>
      </c>
      <c r="I1392" t="s">
        <v>18</v>
      </c>
      <c r="J1392" t="str">
        <f>"8193295053"</f>
        <v>8193295053</v>
      </c>
      <c r="K1392" t="s">
        <v>5336</v>
      </c>
      <c r="L1392" t="s">
        <v>319</v>
      </c>
      <c r="M1392" t="s">
        <v>21</v>
      </c>
    </row>
    <row r="1393" spans="1:13" x14ac:dyDescent="0.35">
      <c r="A1393" t="str">
        <f>"144-5362"</f>
        <v>144-5362</v>
      </c>
      <c r="B1393" t="s">
        <v>5337</v>
      </c>
      <c r="C1393" t="str">
        <f>"756"</f>
        <v>756</v>
      </c>
      <c r="E1393" t="s">
        <v>5338</v>
      </c>
      <c r="F1393" t="s">
        <v>24</v>
      </c>
      <c r="G1393" t="s">
        <v>5339</v>
      </c>
      <c r="H1393" t="s">
        <v>17</v>
      </c>
      <c r="I1393" t="s">
        <v>18</v>
      </c>
      <c r="J1393" t="str">
        <f>"5142247944"</f>
        <v>5142247944</v>
      </c>
      <c r="K1393" t="s">
        <v>5340</v>
      </c>
      <c r="L1393" t="s">
        <v>27</v>
      </c>
      <c r="M1393" t="s">
        <v>21</v>
      </c>
    </row>
    <row r="1394" spans="1:13" x14ac:dyDescent="0.35">
      <c r="A1394" t="str">
        <f>"236-5657"</f>
        <v>236-5657</v>
      </c>
      <c r="B1394" t="s">
        <v>5341</v>
      </c>
      <c r="C1394" t="str">
        <f>"2495"</f>
        <v>2495</v>
      </c>
      <c r="E1394" t="s">
        <v>1610</v>
      </c>
      <c r="F1394" t="s">
        <v>24</v>
      </c>
      <c r="G1394" t="s">
        <v>5342</v>
      </c>
      <c r="H1394" t="s">
        <v>17</v>
      </c>
      <c r="I1394" t="s">
        <v>18</v>
      </c>
      <c r="J1394" t="str">
        <f>"5149239812"</f>
        <v>5149239812</v>
      </c>
      <c r="K1394" t="s">
        <v>5343</v>
      </c>
      <c r="L1394" t="s">
        <v>76</v>
      </c>
      <c r="M1394" t="s">
        <v>21</v>
      </c>
    </row>
    <row r="1395" spans="1:13" x14ac:dyDescent="0.35">
      <c r="A1395" t="str">
        <f>"236-8719"</f>
        <v>236-8719</v>
      </c>
      <c r="B1395" t="s">
        <v>5344</v>
      </c>
      <c r="C1395" t="str">
        <f>"7415"</f>
        <v>7415</v>
      </c>
      <c r="D1395" t="str">
        <f>"302"</f>
        <v>302</v>
      </c>
      <c r="E1395" t="s">
        <v>100</v>
      </c>
      <c r="F1395" t="s">
        <v>40</v>
      </c>
      <c r="G1395" t="s">
        <v>5345</v>
      </c>
      <c r="H1395" t="s">
        <v>17</v>
      </c>
      <c r="I1395" t="s">
        <v>18</v>
      </c>
      <c r="J1395" t="str">
        <f>"4388766440"</f>
        <v>4388766440</v>
      </c>
      <c r="K1395" t="s">
        <v>5346</v>
      </c>
      <c r="L1395" t="s">
        <v>220</v>
      </c>
      <c r="M1395" t="s">
        <v>21</v>
      </c>
    </row>
    <row r="1396" spans="1:13" x14ac:dyDescent="0.35">
      <c r="A1396" t="str">
        <f>"236-8739"</f>
        <v>236-8739</v>
      </c>
      <c r="B1396" t="s">
        <v>5347</v>
      </c>
      <c r="C1396" t="str">
        <f>"9491"</f>
        <v>9491</v>
      </c>
      <c r="E1396" t="s">
        <v>1047</v>
      </c>
      <c r="F1396" t="s">
        <v>24</v>
      </c>
      <c r="G1396" t="s">
        <v>2676</v>
      </c>
      <c r="H1396" t="s">
        <v>17</v>
      </c>
      <c r="I1396" t="s">
        <v>18</v>
      </c>
      <c r="J1396" t="str">
        <f>"4388677562"</f>
        <v>4388677562</v>
      </c>
      <c r="K1396" t="s">
        <v>5348</v>
      </c>
      <c r="L1396" t="s">
        <v>76</v>
      </c>
      <c r="M1396" t="s">
        <v>21</v>
      </c>
    </row>
    <row r="1397" spans="1:13" x14ac:dyDescent="0.35">
      <c r="A1397" t="str">
        <f>"237-7389"</f>
        <v>237-7389</v>
      </c>
      <c r="B1397" t="s">
        <v>5349</v>
      </c>
      <c r="C1397" t="str">
        <f>"34"</f>
        <v>34</v>
      </c>
      <c r="E1397" t="s">
        <v>5350</v>
      </c>
      <c r="F1397" t="s">
        <v>624</v>
      </c>
      <c r="G1397" t="s">
        <v>5351</v>
      </c>
      <c r="H1397" t="s">
        <v>17</v>
      </c>
      <c r="I1397" t="s">
        <v>18</v>
      </c>
      <c r="J1397" t="str">
        <f>"5146231760"</f>
        <v>5146231760</v>
      </c>
      <c r="K1397" t="s">
        <v>5352</v>
      </c>
      <c r="L1397" t="s">
        <v>86</v>
      </c>
      <c r="M1397" t="s">
        <v>21</v>
      </c>
    </row>
    <row r="1398" spans="1:13" x14ac:dyDescent="0.35">
      <c r="A1398" t="str">
        <f>"237-8856"</f>
        <v>237-8856</v>
      </c>
      <c r="B1398" t="s">
        <v>5353</v>
      </c>
      <c r="C1398" t="str">
        <f>"2550"</f>
        <v>2550</v>
      </c>
      <c r="D1398" t="str">
        <f>"3"</f>
        <v>3</v>
      </c>
      <c r="E1398" t="s">
        <v>2205</v>
      </c>
      <c r="F1398" t="s">
        <v>24</v>
      </c>
      <c r="G1398" t="s">
        <v>5354</v>
      </c>
      <c r="H1398" t="s">
        <v>17</v>
      </c>
      <c r="I1398" t="s">
        <v>18</v>
      </c>
      <c r="J1398" t="str">
        <f>"5142670231"</f>
        <v>5142670231</v>
      </c>
      <c r="K1398" t="s">
        <v>5355</v>
      </c>
      <c r="L1398" t="s">
        <v>86</v>
      </c>
      <c r="M1398" t="s">
        <v>21</v>
      </c>
    </row>
    <row r="1399" spans="1:13" x14ac:dyDescent="0.35">
      <c r="A1399" t="str">
        <f>"237-8820"</f>
        <v>237-8820</v>
      </c>
      <c r="B1399" t="s">
        <v>5356</v>
      </c>
      <c r="C1399" t="str">
        <f>"8158"</f>
        <v>8158</v>
      </c>
      <c r="E1399" t="s">
        <v>923</v>
      </c>
      <c r="F1399" t="s">
        <v>24</v>
      </c>
      <c r="G1399" t="s">
        <v>5357</v>
      </c>
      <c r="H1399" t="s">
        <v>17</v>
      </c>
      <c r="I1399" t="s">
        <v>18</v>
      </c>
      <c r="J1399" t="str">
        <f>"5145853119"</f>
        <v>5145853119</v>
      </c>
      <c r="K1399" t="s">
        <v>5358</v>
      </c>
      <c r="L1399" t="s">
        <v>76</v>
      </c>
      <c r="M1399" t="s">
        <v>21</v>
      </c>
    </row>
    <row r="1400" spans="1:13" x14ac:dyDescent="0.35">
      <c r="A1400" t="str">
        <f>"619-0083"</f>
        <v>619-0083</v>
      </c>
      <c r="B1400" t="s">
        <v>5359</v>
      </c>
      <c r="C1400" t="str">
        <f>"592"</f>
        <v>592</v>
      </c>
      <c r="E1400" t="s">
        <v>5360</v>
      </c>
      <c r="F1400" t="s">
        <v>54</v>
      </c>
      <c r="G1400" t="s">
        <v>5361</v>
      </c>
      <c r="H1400" t="s">
        <v>17</v>
      </c>
      <c r="I1400" t="s">
        <v>18</v>
      </c>
      <c r="J1400" t="str">
        <f>"4383981903"</f>
        <v>4383981903</v>
      </c>
      <c r="K1400" t="s">
        <v>5362</v>
      </c>
      <c r="L1400" t="s">
        <v>350</v>
      </c>
      <c r="M1400" t="s">
        <v>21</v>
      </c>
    </row>
    <row r="1401" spans="1:13" x14ac:dyDescent="0.35">
      <c r="A1401" t="str">
        <f>"623-7083"</f>
        <v>623-7083</v>
      </c>
      <c r="B1401" t="s">
        <v>5363</v>
      </c>
      <c r="C1401" t="str">
        <f>"2624"</f>
        <v>2624</v>
      </c>
      <c r="E1401" t="s">
        <v>5364</v>
      </c>
      <c r="F1401" t="s">
        <v>24</v>
      </c>
      <c r="G1401" t="s">
        <v>5365</v>
      </c>
      <c r="H1401" t="s">
        <v>17</v>
      </c>
      <c r="I1401" t="s">
        <v>18</v>
      </c>
      <c r="J1401" t="str">
        <f>"4389929288"</f>
        <v>4389929288</v>
      </c>
      <c r="K1401" t="s">
        <v>5366</v>
      </c>
      <c r="L1401" t="s">
        <v>76</v>
      </c>
      <c r="M1401" t="s">
        <v>21</v>
      </c>
    </row>
    <row r="1402" spans="1:13" x14ac:dyDescent="0.35">
      <c r="A1402" t="str">
        <f>"623-8759"</f>
        <v>623-8759</v>
      </c>
      <c r="B1402" t="s">
        <v>5367</v>
      </c>
      <c r="C1402" t="str">
        <f>"6162"</f>
        <v>6162</v>
      </c>
      <c r="E1402" t="s">
        <v>5368</v>
      </c>
      <c r="F1402" t="s">
        <v>24</v>
      </c>
      <c r="G1402" t="s">
        <v>5369</v>
      </c>
      <c r="H1402" t="s">
        <v>17</v>
      </c>
      <c r="I1402" t="s">
        <v>18</v>
      </c>
      <c r="J1402" t="str">
        <f>"4389224989"</f>
        <v>4389224989</v>
      </c>
      <c r="K1402" t="s">
        <v>5370</v>
      </c>
      <c r="L1402" t="s">
        <v>86</v>
      </c>
      <c r="M1402" t="s">
        <v>21</v>
      </c>
    </row>
    <row r="1403" spans="1:13" x14ac:dyDescent="0.35">
      <c r="A1403" t="str">
        <f>"626-5032"</f>
        <v>626-5032</v>
      </c>
      <c r="B1403" t="s">
        <v>5371</v>
      </c>
      <c r="C1403" t="str">
        <f>"6800"</f>
        <v>6800</v>
      </c>
      <c r="D1403" t="str">
        <f>"503"</f>
        <v>503</v>
      </c>
      <c r="E1403" t="s">
        <v>5372</v>
      </c>
      <c r="F1403" t="s">
        <v>24</v>
      </c>
      <c r="G1403" t="s">
        <v>5373</v>
      </c>
      <c r="H1403" t="s">
        <v>17</v>
      </c>
      <c r="I1403" t="s">
        <v>18</v>
      </c>
      <c r="J1403" t="str">
        <f>"8198557695"</f>
        <v>8198557695</v>
      </c>
      <c r="K1403" t="s">
        <v>5374</v>
      </c>
      <c r="L1403" t="s">
        <v>869</v>
      </c>
      <c r="M1403" t="s">
        <v>21</v>
      </c>
    </row>
    <row r="1404" spans="1:13" x14ac:dyDescent="0.35">
      <c r="A1404" t="str">
        <f>"158-8524"</f>
        <v>158-8524</v>
      </c>
      <c r="B1404" t="s">
        <v>5375</v>
      </c>
      <c r="C1404" t="str">
        <f>"288"</f>
        <v>288</v>
      </c>
      <c r="D1404" t="str">
        <f>"3"</f>
        <v>3</v>
      </c>
      <c r="E1404" t="s">
        <v>4460</v>
      </c>
      <c r="F1404" t="s">
        <v>24</v>
      </c>
      <c r="G1404" t="s">
        <v>1255</v>
      </c>
      <c r="H1404" t="s">
        <v>17</v>
      </c>
      <c r="I1404" t="s">
        <v>18</v>
      </c>
      <c r="J1404" t="str">
        <f>"4383454539"</f>
        <v>4383454539</v>
      </c>
      <c r="K1404" t="s">
        <v>5376</v>
      </c>
      <c r="L1404" t="s">
        <v>29</v>
      </c>
      <c r="M1404" t="s">
        <v>21</v>
      </c>
    </row>
    <row r="1405" spans="1:13" x14ac:dyDescent="0.35">
      <c r="A1405" t="str">
        <f>"238-6928"</f>
        <v>238-6928</v>
      </c>
      <c r="B1405" t="s">
        <v>5377</v>
      </c>
      <c r="C1405" t="str">
        <f>"3275"</f>
        <v>3275</v>
      </c>
      <c r="E1405" t="s">
        <v>5378</v>
      </c>
      <c r="F1405" t="s">
        <v>24</v>
      </c>
      <c r="G1405" t="s">
        <v>5379</v>
      </c>
      <c r="H1405" t="s">
        <v>17</v>
      </c>
      <c r="I1405" t="s">
        <v>18</v>
      </c>
      <c r="J1405" t="str">
        <f>"4383767830"</f>
        <v>4383767830</v>
      </c>
      <c r="K1405" t="s">
        <v>5380</v>
      </c>
      <c r="L1405" t="s">
        <v>86</v>
      </c>
      <c r="M1405" t="s">
        <v>21</v>
      </c>
    </row>
    <row r="1406" spans="1:13" x14ac:dyDescent="0.35">
      <c r="A1406" t="str">
        <f>"238-7001"</f>
        <v>238-7001</v>
      </c>
      <c r="B1406" t="s">
        <v>5381</v>
      </c>
      <c r="C1406" t="str">
        <f>"1690"</f>
        <v>1690</v>
      </c>
      <c r="E1406" t="s">
        <v>5382</v>
      </c>
      <c r="F1406" t="s">
        <v>24</v>
      </c>
      <c r="G1406" t="s">
        <v>5383</v>
      </c>
      <c r="H1406" t="s">
        <v>17</v>
      </c>
      <c r="I1406" t="s">
        <v>18</v>
      </c>
      <c r="J1406" t="str">
        <f>"4385405110"</f>
        <v>4385405110</v>
      </c>
      <c r="K1406" t="s">
        <v>5384</v>
      </c>
      <c r="L1406" t="s">
        <v>76</v>
      </c>
      <c r="M1406" t="s">
        <v>21</v>
      </c>
    </row>
    <row r="1407" spans="1:13" x14ac:dyDescent="0.35">
      <c r="A1407" t="str">
        <f>"238-8729"</f>
        <v>238-8729</v>
      </c>
      <c r="B1407" t="s">
        <v>5385</v>
      </c>
      <c r="C1407" t="str">
        <f>"6859"</f>
        <v>6859</v>
      </c>
      <c r="E1407" t="s">
        <v>4581</v>
      </c>
      <c r="F1407" t="s">
        <v>24</v>
      </c>
      <c r="G1407" t="s">
        <v>4582</v>
      </c>
      <c r="H1407" t="s">
        <v>17</v>
      </c>
      <c r="I1407" t="s">
        <v>18</v>
      </c>
      <c r="J1407" t="str">
        <f>"4383898798"</f>
        <v>4383898798</v>
      </c>
      <c r="K1407" t="s">
        <v>5386</v>
      </c>
      <c r="L1407" t="s">
        <v>396</v>
      </c>
      <c r="M1407" t="s">
        <v>21</v>
      </c>
    </row>
    <row r="1408" spans="1:13" x14ac:dyDescent="0.35">
      <c r="A1408" t="str">
        <f>"622-0638"</f>
        <v>622-0638</v>
      </c>
      <c r="B1408" t="s">
        <v>5387</v>
      </c>
      <c r="C1408" t="str">
        <f>"5360"</f>
        <v>5360</v>
      </c>
      <c r="D1408" t="str">
        <f>"303"</f>
        <v>303</v>
      </c>
      <c r="E1408" t="s">
        <v>5388</v>
      </c>
      <c r="F1408" t="s">
        <v>2880</v>
      </c>
      <c r="G1408" t="s">
        <v>5389</v>
      </c>
      <c r="H1408" t="s">
        <v>17</v>
      </c>
      <c r="I1408" t="s">
        <v>18</v>
      </c>
      <c r="J1408" t="str">
        <f>"5145813107"</f>
        <v>5145813107</v>
      </c>
      <c r="K1408" t="s">
        <v>5390</v>
      </c>
      <c r="L1408" t="s">
        <v>220</v>
      </c>
      <c r="M1408" t="s">
        <v>21</v>
      </c>
    </row>
    <row r="1409" spans="1:13" x14ac:dyDescent="0.35">
      <c r="A1409" t="str">
        <f>"624-6568"</f>
        <v>624-6568</v>
      </c>
      <c r="B1409" t="s">
        <v>5391</v>
      </c>
      <c r="C1409" t="str">
        <f>"6443"</f>
        <v>6443</v>
      </c>
      <c r="E1409" t="s">
        <v>5392</v>
      </c>
      <c r="F1409" t="s">
        <v>24</v>
      </c>
      <c r="G1409" t="s">
        <v>5393</v>
      </c>
      <c r="H1409" t="s">
        <v>17</v>
      </c>
      <c r="I1409" t="s">
        <v>18</v>
      </c>
      <c r="J1409" t="str">
        <f>"5147692710"</f>
        <v>5147692710</v>
      </c>
      <c r="K1409" t="s">
        <v>5394</v>
      </c>
      <c r="L1409" t="s">
        <v>396</v>
      </c>
      <c r="M1409" t="s">
        <v>21</v>
      </c>
    </row>
    <row r="1410" spans="1:13" x14ac:dyDescent="0.35">
      <c r="A1410" t="str">
        <f>"624-7793"</f>
        <v>624-7793</v>
      </c>
      <c r="B1410" t="s">
        <v>5395</v>
      </c>
      <c r="C1410" t="str">
        <f>"2804"</f>
        <v>2804</v>
      </c>
      <c r="E1410" t="s">
        <v>5396</v>
      </c>
      <c r="F1410" t="s">
        <v>24</v>
      </c>
      <c r="G1410" t="s">
        <v>5397</v>
      </c>
      <c r="H1410" t="s">
        <v>17</v>
      </c>
      <c r="I1410" t="s">
        <v>18</v>
      </c>
      <c r="J1410" t="str">
        <f>"5142416017"</f>
        <v>5142416017</v>
      </c>
      <c r="K1410" t="s">
        <v>5398</v>
      </c>
      <c r="L1410" t="s">
        <v>137</v>
      </c>
      <c r="M1410" t="s">
        <v>21</v>
      </c>
    </row>
    <row r="1411" spans="1:13" x14ac:dyDescent="0.35">
      <c r="A1411" t="str">
        <f>"625-2875"</f>
        <v>625-2875</v>
      </c>
      <c r="B1411" t="s">
        <v>5399</v>
      </c>
      <c r="C1411" t="str">
        <f>"10036"</f>
        <v>10036</v>
      </c>
      <c r="E1411" t="s">
        <v>1665</v>
      </c>
      <c r="F1411" t="s">
        <v>24</v>
      </c>
      <c r="G1411" t="s">
        <v>5400</v>
      </c>
      <c r="H1411" t="s">
        <v>17</v>
      </c>
      <c r="I1411" t="s">
        <v>18</v>
      </c>
      <c r="J1411" t="str">
        <f>"4383663938"</f>
        <v>4383663938</v>
      </c>
      <c r="K1411" t="s">
        <v>5401</v>
      </c>
      <c r="L1411" t="s">
        <v>220</v>
      </c>
      <c r="M1411" t="s">
        <v>21</v>
      </c>
    </row>
    <row r="1412" spans="1:13" x14ac:dyDescent="0.35">
      <c r="A1412" t="str">
        <f>"627-1491"</f>
        <v>627-1491</v>
      </c>
      <c r="B1412" t="s">
        <v>5402</v>
      </c>
      <c r="C1412" t="str">
        <f>"3751"</f>
        <v>3751</v>
      </c>
      <c r="E1412" t="s">
        <v>5403</v>
      </c>
      <c r="F1412" t="s">
        <v>24</v>
      </c>
      <c r="G1412" t="s">
        <v>5404</v>
      </c>
      <c r="H1412" t="s">
        <v>17</v>
      </c>
      <c r="I1412" t="s">
        <v>18</v>
      </c>
      <c r="J1412" t="str">
        <f>"4383410131"</f>
        <v>4383410131</v>
      </c>
      <c r="K1412" t="s">
        <v>5405</v>
      </c>
      <c r="L1412" t="s">
        <v>76</v>
      </c>
      <c r="M1412" t="s">
        <v>21</v>
      </c>
    </row>
    <row r="1413" spans="1:13" x14ac:dyDescent="0.35">
      <c r="A1413" t="str">
        <f>"627-1554"</f>
        <v>627-1554</v>
      </c>
      <c r="B1413" t="s">
        <v>5406</v>
      </c>
      <c r="C1413" t="str">
        <f>"2155"</f>
        <v>2155</v>
      </c>
      <c r="D1413" t="str">
        <f>"1"</f>
        <v>1</v>
      </c>
      <c r="E1413" t="s">
        <v>5407</v>
      </c>
      <c r="F1413" t="s">
        <v>24</v>
      </c>
      <c r="G1413" t="s">
        <v>5408</v>
      </c>
      <c r="H1413" t="s">
        <v>17</v>
      </c>
      <c r="I1413" t="s">
        <v>18</v>
      </c>
      <c r="J1413" t="str">
        <f>"5149237270"</f>
        <v>5149237270</v>
      </c>
      <c r="K1413" t="s">
        <v>5409</v>
      </c>
      <c r="L1413" t="s">
        <v>438</v>
      </c>
      <c r="M1413" t="s">
        <v>21</v>
      </c>
    </row>
    <row r="1414" spans="1:13" x14ac:dyDescent="0.35">
      <c r="A1414" t="str">
        <f>"627-1651"</f>
        <v>627-1651</v>
      </c>
      <c r="B1414" t="s">
        <v>5410</v>
      </c>
      <c r="C1414" t="str">
        <f>"6472"</f>
        <v>6472</v>
      </c>
      <c r="D1414" t="str">
        <f>"1"</f>
        <v>1</v>
      </c>
      <c r="E1414" t="s">
        <v>368</v>
      </c>
      <c r="F1414" t="s">
        <v>24</v>
      </c>
      <c r="G1414" t="s">
        <v>5411</v>
      </c>
      <c r="H1414" t="s">
        <v>17</v>
      </c>
      <c r="I1414" t="s">
        <v>18</v>
      </c>
      <c r="J1414" t="str">
        <f>"5144431732"</f>
        <v>5144431732</v>
      </c>
      <c r="K1414" t="s">
        <v>5412</v>
      </c>
      <c r="L1414" t="s">
        <v>39</v>
      </c>
      <c r="M1414" t="s">
        <v>21</v>
      </c>
    </row>
    <row r="1415" spans="1:13" x14ac:dyDescent="0.35">
      <c r="A1415" t="str">
        <f>"627-1839"</f>
        <v>627-1839</v>
      </c>
      <c r="B1415" t="s">
        <v>5413</v>
      </c>
      <c r="C1415" t="str">
        <f>"9074"</f>
        <v>9074</v>
      </c>
      <c r="E1415" t="s">
        <v>818</v>
      </c>
      <c r="F1415" t="s">
        <v>24</v>
      </c>
      <c r="G1415" t="s">
        <v>5414</v>
      </c>
      <c r="H1415" t="s">
        <v>17</v>
      </c>
      <c r="I1415" t="s">
        <v>18</v>
      </c>
      <c r="J1415" t="str">
        <f>"5145623485"</f>
        <v>5145623485</v>
      </c>
      <c r="K1415" t="s">
        <v>5415</v>
      </c>
      <c r="L1415" t="s">
        <v>27</v>
      </c>
      <c r="M1415" t="s">
        <v>21</v>
      </c>
    </row>
    <row r="1416" spans="1:13" x14ac:dyDescent="0.35">
      <c r="A1416" t="str">
        <f>"133-0424"</f>
        <v>133-0424</v>
      </c>
      <c r="B1416" t="s">
        <v>5416</v>
      </c>
      <c r="C1416" t="str">
        <f>"8881"</f>
        <v>8881</v>
      </c>
      <c r="E1416" t="s">
        <v>5417</v>
      </c>
      <c r="F1416" t="s">
        <v>24</v>
      </c>
      <c r="G1416" t="s">
        <v>5418</v>
      </c>
      <c r="H1416" t="s">
        <v>17</v>
      </c>
      <c r="I1416" t="s">
        <v>18</v>
      </c>
      <c r="J1416" t="str">
        <f>"4389325335"</f>
        <v>4389325335</v>
      </c>
      <c r="K1416" t="s">
        <v>5419</v>
      </c>
      <c r="L1416" t="s">
        <v>319</v>
      </c>
      <c r="M1416" t="s">
        <v>21</v>
      </c>
    </row>
    <row r="1417" spans="1:13" x14ac:dyDescent="0.35">
      <c r="A1417" t="str">
        <f>"169-1763"</f>
        <v>169-1763</v>
      </c>
      <c r="B1417" t="s">
        <v>5420</v>
      </c>
      <c r="C1417" t="str">
        <f>"3220"</f>
        <v>3220</v>
      </c>
      <c r="E1417" t="s">
        <v>5421</v>
      </c>
      <c r="F1417" t="s">
        <v>143</v>
      </c>
      <c r="G1417" t="s">
        <v>5422</v>
      </c>
      <c r="H1417" t="s">
        <v>17</v>
      </c>
      <c r="I1417" t="s">
        <v>18</v>
      </c>
      <c r="J1417" t="str">
        <f>"4385431366"</f>
        <v>4385431366</v>
      </c>
      <c r="K1417" t="s">
        <v>5423</v>
      </c>
      <c r="L1417" t="s">
        <v>198</v>
      </c>
      <c r="M1417" t="s">
        <v>21</v>
      </c>
    </row>
    <row r="1418" spans="1:13" x14ac:dyDescent="0.35">
      <c r="A1418" t="str">
        <f>"197-4398"</f>
        <v>197-4398</v>
      </c>
      <c r="B1418" t="s">
        <v>5424</v>
      </c>
      <c r="C1418" t="str">
        <f>"7266"</f>
        <v>7266</v>
      </c>
      <c r="E1418" t="s">
        <v>169</v>
      </c>
      <c r="F1418" t="s">
        <v>24</v>
      </c>
      <c r="G1418" t="s">
        <v>5425</v>
      </c>
      <c r="H1418" t="s">
        <v>17</v>
      </c>
      <c r="I1418" t="s">
        <v>18</v>
      </c>
      <c r="J1418" t="str">
        <f>"5147217998"</f>
        <v>5147217998</v>
      </c>
      <c r="K1418" t="s">
        <v>5426</v>
      </c>
      <c r="L1418" t="s">
        <v>76</v>
      </c>
      <c r="M1418" t="s">
        <v>21</v>
      </c>
    </row>
    <row r="1419" spans="1:13" x14ac:dyDescent="0.35">
      <c r="A1419" t="str">
        <f>"626-8741"</f>
        <v>626-8741</v>
      </c>
      <c r="B1419" t="s">
        <v>5427</v>
      </c>
      <c r="C1419" t="str">
        <f>"1200"</f>
        <v>1200</v>
      </c>
      <c r="D1419" t="str">
        <f>"8"</f>
        <v>8</v>
      </c>
      <c r="E1419" t="s">
        <v>942</v>
      </c>
      <c r="F1419" t="s">
        <v>24</v>
      </c>
      <c r="G1419" t="s">
        <v>5428</v>
      </c>
      <c r="H1419" t="s">
        <v>17</v>
      </c>
      <c r="I1419" t="s">
        <v>18</v>
      </c>
      <c r="J1419" t="str">
        <f>"4383724138"</f>
        <v>4383724138</v>
      </c>
      <c r="K1419" t="s">
        <v>5429</v>
      </c>
      <c r="L1419" t="s">
        <v>86</v>
      </c>
      <c r="M1419" t="s">
        <v>21</v>
      </c>
    </row>
    <row r="1420" spans="1:13" x14ac:dyDescent="0.35">
      <c r="A1420" t="str">
        <f>"626-8803"</f>
        <v>626-8803</v>
      </c>
      <c r="B1420" t="s">
        <v>5430</v>
      </c>
      <c r="C1420" t="str">
        <f>"3207 A"</f>
        <v>3207 A</v>
      </c>
      <c r="E1420" t="s">
        <v>5431</v>
      </c>
      <c r="F1420" t="s">
        <v>5432</v>
      </c>
      <c r="G1420" t="s">
        <v>3460</v>
      </c>
      <c r="H1420" t="s">
        <v>17</v>
      </c>
      <c r="I1420" t="s">
        <v>18</v>
      </c>
      <c r="J1420" t="str">
        <f>"5144528502"</f>
        <v>5144528502</v>
      </c>
      <c r="K1420" t="s">
        <v>5433</v>
      </c>
      <c r="L1420" t="s">
        <v>27</v>
      </c>
      <c r="M1420" t="s">
        <v>21</v>
      </c>
    </row>
    <row r="1421" spans="1:13" x14ac:dyDescent="0.35">
      <c r="A1421" t="str">
        <f>"626-8950"</f>
        <v>626-8950</v>
      </c>
      <c r="B1421" t="s">
        <v>5434</v>
      </c>
      <c r="C1421" t="str">
        <f>"7141"</f>
        <v>7141</v>
      </c>
      <c r="D1421" t="str">
        <f>"3"</f>
        <v>3</v>
      </c>
      <c r="E1421" t="s">
        <v>5435</v>
      </c>
      <c r="F1421" t="s">
        <v>24</v>
      </c>
      <c r="G1421" t="s">
        <v>5436</v>
      </c>
      <c r="H1421" t="s">
        <v>17</v>
      </c>
      <c r="I1421" t="s">
        <v>18</v>
      </c>
      <c r="J1421" t="str">
        <f>"5414302087"</f>
        <v>5414302087</v>
      </c>
      <c r="K1421" t="s">
        <v>5437</v>
      </c>
      <c r="L1421" t="s">
        <v>350</v>
      </c>
      <c r="M1421" t="s">
        <v>21</v>
      </c>
    </row>
    <row r="1422" spans="1:13" x14ac:dyDescent="0.35">
      <c r="A1422" t="str">
        <f>"627-3376"</f>
        <v>627-3376</v>
      </c>
      <c r="B1422" t="s">
        <v>5438</v>
      </c>
      <c r="C1422" t="str">
        <f>"6202"</f>
        <v>6202</v>
      </c>
      <c r="E1422" t="s">
        <v>2056</v>
      </c>
      <c r="F1422" t="s">
        <v>24</v>
      </c>
      <c r="G1422" t="s">
        <v>2057</v>
      </c>
      <c r="H1422" t="s">
        <v>17</v>
      </c>
      <c r="I1422" t="s">
        <v>18</v>
      </c>
      <c r="J1422" t="str">
        <f>"4385307785"</f>
        <v>4385307785</v>
      </c>
      <c r="K1422" t="s">
        <v>5439</v>
      </c>
      <c r="L1422" t="s">
        <v>137</v>
      </c>
      <c r="M1422" t="s">
        <v>21</v>
      </c>
    </row>
    <row r="1423" spans="1:13" x14ac:dyDescent="0.35">
      <c r="A1423" t="str">
        <f>"627-3233"</f>
        <v>627-3233</v>
      </c>
      <c r="B1423" t="s">
        <v>5440</v>
      </c>
      <c r="C1423" t="str">
        <f>"8489"</f>
        <v>8489</v>
      </c>
      <c r="E1423" t="s">
        <v>5441</v>
      </c>
      <c r="F1423" t="s">
        <v>24</v>
      </c>
      <c r="G1423" t="s">
        <v>5442</v>
      </c>
      <c r="H1423" t="s">
        <v>17</v>
      </c>
      <c r="I1423" t="s">
        <v>18</v>
      </c>
      <c r="J1423" t="str">
        <f>"4385299773"</f>
        <v>4385299773</v>
      </c>
      <c r="K1423" t="s">
        <v>5443</v>
      </c>
      <c r="L1423" t="s">
        <v>168</v>
      </c>
      <c r="M1423" t="s">
        <v>21</v>
      </c>
    </row>
    <row r="1424" spans="1:13" x14ac:dyDescent="0.35">
      <c r="A1424" t="str">
        <f>"627-3441"</f>
        <v>627-3441</v>
      </c>
      <c r="B1424" t="s">
        <v>5444</v>
      </c>
      <c r="C1424" t="str">
        <f>"2694"</f>
        <v>2694</v>
      </c>
      <c r="E1424" t="s">
        <v>3607</v>
      </c>
      <c r="F1424" t="s">
        <v>24</v>
      </c>
      <c r="G1424" t="s">
        <v>3608</v>
      </c>
      <c r="H1424" t="s">
        <v>17</v>
      </c>
      <c r="I1424" t="s">
        <v>18</v>
      </c>
      <c r="J1424" t="str">
        <f>"4386802037"</f>
        <v>4386802037</v>
      </c>
      <c r="K1424" t="s">
        <v>5445</v>
      </c>
      <c r="L1424" t="s">
        <v>319</v>
      </c>
      <c r="M1424" t="s">
        <v>21</v>
      </c>
    </row>
    <row r="1425" spans="1:13" x14ac:dyDescent="0.35">
      <c r="A1425" t="str">
        <f>"153-5044"</f>
        <v>153-5044</v>
      </c>
      <c r="B1425" t="s">
        <v>5446</v>
      </c>
      <c r="C1425" t="str">
        <f>"6622"</f>
        <v>6622</v>
      </c>
      <c r="E1425" t="s">
        <v>1278</v>
      </c>
      <c r="F1425" t="s">
        <v>24</v>
      </c>
      <c r="G1425" t="s">
        <v>3248</v>
      </c>
      <c r="H1425" t="s">
        <v>17</v>
      </c>
      <c r="I1425" t="s">
        <v>18</v>
      </c>
      <c r="J1425" t="str">
        <f>"4388242240"</f>
        <v>4388242240</v>
      </c>
      <c r="K1425" t="s">
        <v>5447</v>
      </c>
      <c r="L1425" t="s">
        <v>168</v>
      </c>
      <c r="M1425" t="s">
        <v>21</v>
      </c>
    </row>
    <row r="1426" spans="1:13" x14ac:dyDescent="0.35">
      <c r="A1426" t="str">
        <f>"201-8599"</f>
        <v>201-8599</v>
      </c>
      <c r="B1426" t="s">
        <v>5448</v>
      </c>
      <c r="C1426" t="str">
        <f>"8805"</f>
        <v>8805</v>
      </c>
      <c r="E1426" t="s">
        <v>234</v>
      </c>
      <c r="F1426" t="s">
        <v>1332</v>
      </c>
      <c r="G1426" t="s">
        <v>5449</v>
      </c>
      <c r="H1426" t="s">
        <v>17</v>
      </c>
      <c r="I1426" t="s">
        <v>18</v>
      </c>
      <c r="J1426" t="str">
        <f>"4388799762"</f>
        <v>4388799762</v>
      </c>
      <c r="K1426" t="s">
        <v>5450</v>
      </c>
      <c r="L1426" t="s">
        <v>193</v>
      </c>
      <c r="M1426" t="s">
        <v>21</v>
      </c>
    </row>
    <row r="1427" spans="1:13" x14ac:dyDescent="0.35">
      <c r="A1427" t="str">
        <f>"218-1801"</f>
        <v>218-1801</v>
      </c>
      <c r="B1427" t="s">
        <v>5451</v>
      </c>
      <c r="C1427" t="str">
        <f>"9440"</f>
        <v>9440</v>
      </c>
      <c r="D1427" t="str">
        <f>"2"</f>
        <v>2</v>
      </c>
      <c r="E1427" t="s">
        <v>1300</v>
      </c>
      <c r="F1427" t="s">
        <v>40</v>
      </c>
      <c r="G1427" t="s">
        <v>5452</v>
      </c>
      <c r="H1427" t="s">
        <v>17</v>
      </c>
      <c r="I1427" t="s">
        <v>18</v>
      </c>
      <c r="J1427" t="str">
        <f>"4385289397"</f>
        <v>4385289397</v>
      </c>
      <c r="K1427" t="s">
        <v>5453</v>
      </c>
      <c r="L1427" t="s">
        <v>220</v>
      </c>
      <c r="M1427" t="s">
        <v>21</v>
      </c>
    </row>
    <row r="1428" spans="1:13" x14ac:dyDescent="0.35">
      <c r="A1428" t="str">
        <f>"624-2863"</f>
        <v>624-2863</v>
      </c>
      <c r="B1428" t="s">
        <v>5454</v>
      </c>
      <c r="C1428" t="str">
        <f>"16066"</f>
        <v>16066</v>
      </c>
      <c r="E1428" t="s">
        <v>4694</v>
      </c>
      <c r="F1428" t="s">
        <v>24</v>
      </c>
      <c r="G1428" t="s">
        <v>5455</v>
      </c>
      <c r="H1428" t="s">
        <v>17</v>
      </c>
      <c r="I1428" t="s">
        <v>18</v>
      </c>
      <c r="J1428" t="str">
        <f>"5144676137"</f>
        <v>5144676137</v>
      </c>
      <c r="K1428" t="s">
        <v>5456</v>
      </c>
      <c r="L1428" t="s">
        <v>27</v>
      </c>
      <c r="M1428" t="s">
        <v>21</v>
      </c>
    </row>
    <row r="1429" spans="1:13" x14ac:dyDescent="0.35">
      <c r="A1429" t="str">
        <f>"624-3576"</f>
        <v>624-3576</v>
      </c>
      <c r="B1429" t="s">
        <v>5457</v>
      </c>
      <c r="C1429" t="str">
        <f>"10961"</f>
        <v>10961</v>
      </c>
      <c r="E1429" t="s">
        <v>5458</v>
      </c>
      <c r="F1429" t="s">
        <v>24</v>
      </c>
      <c r="G1429" t="s">
        <v>5459</v>
      </c>
      <c r="H1429" t="s">
        <v>17</v>
      </c>
      <c r="I1429" t="s">
        <v>18</v>
      </c>
      <c r="J1429" t="str">
        <f>"5145820961"</f>
        <v>5145820961</v>
      </c>
      <c r="K1429" t="s">
        <v>5460</v>
      </c>
      <c r="L1429" t="s">
        <v>86</v>
      </c>
      <c r="M1429" t="s">
        <v>21</v>
      </c>
    </row>
    <row r="1430" spans="1:13" x14ac:dyDescent="0.35">
      <c r="A1430" t="str">
        <f>"626-1370"</f>
        <v>626-1370</v>
      </c>
      <c r="B1430" t="s">
        <v>5461</v>
      </c>
      <c r="C1430" t="str">
        <f>"1775"</f>
        <v>1775</v>
      </c>
      <c r="D1430" t="str">
        <f>"204"</f>
        <v>204</v>
      </c>
      <c r="E1430" t="s">
        <v>5462</v>
      </c>
      <c r="F1430" t="s">
        <v>24</v>
      </c>
      <c r="G1430" t="s">
        <v>5463</v>
      </c>
      <c r="H1430" t="s">
        <v>17</v>
      </c>
      <c r="I1430" t="s">
        <v>18</v>
      </c>
      <c r="J1430" t="str">
        <f>"5145824946"</f>
        <v>5145824946</v>
      </c>
      <c r="K1430" t="s">
        <v>5464</v>
      </c>
      <c r="L1430" t="s">
        <v>27</v>
      </c>
      <c r="M1430" t="s">
        <v>21</v>
      </c>
    </row>
    <row r="1431" spans="1:13" x14ac:dyDescent="0.35">
      <c r="A1431" t="str">
        <f>"626-1623"</f>
        <v>626-1623</v>
      </c>
      <c r="B1431" t="s">
        <v>5465</v>
      </c>
      <c r="C1431" t="str">
        <f>"5179"</f>
        <v>5179</v>
      </c>
      <c r="E1431" t="s">
        <v>455</v>
      </c>
      <c r="F1431" t="s">
        <v>24</v>
      </c>
      <c r="G1431" t="s">
        <v>2246</v>
      </c>
      <c r="H1431" t="s">
        <v>17</v>
      </c>
      <c r="I1431" t="s">
        <v>18</v>
      </c>
      <c r="J1431" t="str">
        <f>"4386222276"</f>
        <v>4386222276</v>
      </c>
      <c r="K1431" t="s">
        <v>5466</v>
      </c>
      <c r="L1431" t="s">
        <v>76</v>
      </c>
      <c r="M1431" t="s">
        <v>21</v>
      </c>
    </row>
    <row r="1432" spans="1:13" x14ac:dyDescent="0.35">
      <c r="A1432" t="str">
        <f>"627-1072"</f>
        <v>627-1072</v>
      </c>
      <c r="B1432" t="s">
        <v>5467</v>
      </c>
      <c r="C1432" t="str">
        <f>"5788"</f>
        <v>5788</v>
      </c>
      <c r="E1432" t="s">
        <v>4092</v>
      </c>
      <c r="F1432" t="s">
        <v>24</v>
      </c>
      <c r="G1432" t="s">
        <v>3798</v>
      </c>
      <c r="H1432" t="s">
        <v>17</v>
      </c>
      <c r="I1432" t="s">
        <v>18</v>
      </c>
      <c r="J1432" t="str">
        <f>"4389987927"</f>
        <v>4389987927</v>
      </c>
      <c r="K1432" t="s">
        <v>5468</v>
      </c>
      <c r="L1432" t="s">
        <v>20</v>
      </c>
      <c r="M1432" t="s">
        <v>21</v>
      </c>
    </row>
    <row r="1433" spans="1:13" x14ac:dyDescent="0.35">
      <c r="A1433" t="str">
        <f>"101-9967"</f>
        <v>101-9967</v>
      </c>
      <c r="B1433" t="s">
        <v>5469</v>
      </c>
      <c r="C1433" t="str">
        <f>"5277"</f>
        <v>5277</v>
      </c>
      <c r="E1433" t="s">
        <v>5470</v>
      </c>
      <c r="F1433" t="s">
        <v>24</v>
      </c>
      <c r="G1433" t="s">
        <v>5471</v>
      </c>
      <c r="H1433" t="s">
        <v>17</v>
      </c>
      <c r="I1433" t="s">
        <v>18</v>
      </c>
      <c r="J1433" t="str">
        <f>"4506120161"</f>
        <v>4506120161</v>
      </c>
      <c r="K1433" t="s">
        <v>5472</v>
      </c>
      <c r="L1433" t="s">
        <v>39</v>
      </c>
      <c r="M1433" t="s">
        <v>21</v>
      </c>
    </row>
    <row r="1434" spans="1:13" x14ac:dyDescent="0.35">
      <c r="A1434" t="str">
        <f>"195-8317"</f>
        <v>195-8317</v>
      </c>
      <c r="B1434" t="s">
        <v>5473</v>
      </c>
      <c r="C1434" t="str">
        <f>"10129"</f>
        <v>10129</v>
      </c>
      <c r="D1434" t="str">
        <f>"195831"</f>
        <v>195831</v>
      </c>
      <c r="E1434" t="s">
        <v>5474</v>
      </c>
      <c r="F1434" t="s">
        <v>24</v>
      </c>
      <c r="G1434" t="s">
        <v>5475</v>
      </c>
      <c r="H1434" t="s">
        <v>17</v>
      </c>
      <c r="I1434" t="s">
        <v>18</v>
      </c>
      <c r="J1434" t="str">
        <f>"8196160066"</f>
        <v>8196160066</v>
      </c>
      <c r="K1434" t="s">
        <v>5476</v>
      </c>
      <c r="L1434" t="s">
        <v>350</v>
      </c>
      <c r="M1434" t="s">
        <v>21</v>
      </c>
    </row>
    <row r="1435" spans="1:13" x14ac:dyDescent="0.35">
      <c r="A1435" t="str">
        <f>"206-4548"</f>
        <v>206-4548</v>
      </c>
      <c r="B1435" t="s">
        <v>5477</v>
      </c>
      <c r="C1435" t="str">
        <f>"4015"</f>
        <v>4015</v>
      </c>
      <c r="D1435" t="str">
        <f>"95"</f>
        <v>95</v>
      </c>
      <c r="E1435" t="s">
        <v>5478</v>
      </c>
      <c r="F1435" t="s">
        <v>24</v>
      </c>
      <c r="G1435" t="s">
        <v>5479</v>
      </c>
      <c r="H1435" t="s">
        <v>17</v>
      </c>
      <c r="I1435" t="s">
        <v>18</v>
      </c>
      <c r="J1435" t="str">
        <f>"5794219163"</f>
        <v>5794219163</v>
      </c>
      <c r="K1435" t="s">
        <v>5480</v>
      </c>
      <c r="L1435" t="s">
        <v>396</v>
      </c>
      <c r="M1435" t="s">
        <v>21</v>
      </c>
    </row>
    <row r="1436" spans="1:13" x14ac:dyDescent="0.35">
      <c r="A1436" t="str">
        <f>"215-1603"</f>
        <v>215-1603</v>
      </c>
      <c r="B1436" t="s">
        <v>5481</v>
      </c>
      <c r="C1436" t="str">
        <f>"370"</f>
        <v>370</v>
      </c>
      <c r="E1436" t="s">
        <v>5482</v>
      </c>
      <c r="F1436" t="s">
        <v>1506</v>
      </c>
      <c r="G1436" t="s">
        <v>5483</v>
      </c>
      <c r="H1436" t="s">
        <v>17</v>
      </c>
      <c r="I1436" t="s">
        <v>18</v>
      </c>
      <c r="J1436" t="str">
        <f>"5798884354"</f>
        <v>5798884354</v>
      </c>
      <c r="K1436" t="s">
        <v>5484</v>
      </c>
      <c r="L1436" t="s">
        <v>39</v>
      </c>
      <c r="M1436" t="s">
        <v>21</v>
      </c>
    </row>
    <row r="1437" spans="1:13" x14ac:dyDescent="0.35">
      <c r="A1437" t="str">
        <f>"217-4785"</f>
        <v>217-4785</v>
      </c>
      <c r="B1437" t="s">
        <v>5485</v>
      </c>
      <c r="C1437" t="str">
        <f>"8960"</f>
        <v>8960</v>
      </c>
      <c r="E1437" t="s">
        <v>5486</v>
      </c>
      <c r="F1437" t="s">
        <v>24</v>
      </c>
      <c r="G1437" t="s">
        <v>5487</v>
      </c>
      <c r="H1437" t="s">
        <v>17</v>
      </c>
      <c r="I1437" t="s">
        <v>18</v>
      </c>
      <c r="J1437" t="str">
        <f>"5142986413"</f>
        <v>5142986413</v>
      </c>
      <c r="K1437" t="s">
        <v>5488</v>
      </c>
      <c r="L1437" t="s">
        <v>27</v>
      </c>
      <c r="M1437" t="s">
        <v>21</v>
      </c>
    </row>
    <row r="1438" spans="1:13" x14ac:dyDescent="0.35">
      <c r="A1438" t="str">
        <f>"224-8906"</f>
        <v>224-8906</v>
      </c>
      <c r="B1438" t="s">
        <v>5489</v>
      </c>
      <c r="C1438" t="str">
        <f>"3820"</f>
        <v>3820</v>
      </c>
      <c r="D1438" t="str">
        <f>"401"</f>
        <v>401</v>
      </c>
      <c r="E1438" t="s">
        <v>5490</v>
      </c>
      <c r="F1438" t="s">
        <v>54</v>
      </c>
      <c r="G1438" t="s">
        <v>5491</v>
      </c>
      <c r="H1438" t="s">
        <v>17</v>
      </c>
      <c r="I1438" t="s">
        <v>18</v>
      </c>
      <c r="J1438" t="str">
        <f>"8193551028"</f>
        <v>8193551028</v>
      </c>
      <c r="K1438" t="s">
        <v>5492</v>
      </c>
      <c r="L1438" t="s">
        <v>27</v>
      </c>
      <c r="M1438" t="s">
        <v>21</v>
      </c>
    </row>
    <row r="1439" spans="1:13" x14ac:dyDescent="0.35">
      <c r="A1439" t="str">
        <f>"224-9255"</f>
        <v>224-9255</v>
      </c>
      <c r="B1439" t="s">
        <v>5493</v>
      </c>
      <c r="C1439" t="str">
        <f>"3055"</f>
        <v>3055</v>
      </c>
      <c r="D1439" t="str">
        <f>"7"</f>
        <v>7</v>
      </c>
      <c r="E1439" t="s">
        <v>376</v>
      </c>
      <c r="F1439" t="s">
        <v>24</v>
      </c>
      <c r="G1439" t="s">
        <v>5494</v>
      </c>
      <c r="H1439" t="s">
        <v>17</v>
      </c>
      <c r="I1439" t="s">
        <v>18</v>
      </c>
      <c r="J1439" t="str">
        <f>"4382264613"</f>
        <v>4382264613</v>
      </c>
      <c r="K1439" t="s">
        <v>5495</v>
      </c>
      <c r="L1439" t="s">
        <v>76</v>
      </c>
      <c r="M1439" t="s">
        <v>21</v>
      </c>
    </row>
    <row r="1440" spans="1:13" x14ac:dyDescent="0.35">
      <c r="A1440" t="str">
        <f>"225-6545"</f>
        <v>225-6545</v>
      </c>
      <c r="B1440" t="s">
        <v>5496</v>
      </c>
      <c r="C1440" t="str">
        <f>"4355"</f>
        <v>4355</v>
      </c>
      <c r="E1440" t="s">
        <v>129</v>
      </c>
      <c r="F1440" t="s">
        <v>24</v>
      </c>
      <c r="G1440" t="s">
        <v>5497</v>
      </c>
      <c r="H1440" t="s">
        <v>17</v>
      </c>
      <c r="I1440" t="s">
        <v>18</v>
      </c>
      <c r="J1440" t="str">
        <f>"5144758777"</f>
        <v>5144758777</v>
      </c>
      <c r="K1440" t="s">
        <v>5498</v>
      </c>
      <c r="L1440" t="s">
        <v>534</v>
      </c>
      <c r="M1440" t="s">
        <v>21</v>
      </c>
    </row>
    <row r="1441" spans="1:13" x14ac:dyDescent="0.35">
      <c r="A1441" t="str">
        <f>"623-7998"</f>
        <v>623-7998</v>
      </c>
      <c r="B1441" t="s">
        <v>5499</v>
      </c>
      <c r="C1441" t="str">
        <f>"3128"</f>
        <v>3128</v>
      </c>
      <c r="E1441" t="s">
        <v>5500</v>
      </c>
      <c r="F1441" t="s">
        <v>24</v>
      </c>
      <c r="G1441" t="s">
        <v>5501</v>
      </c>
      <c r="H1441" t="s">
        <v>17</v>
      </c>
      <c r="I1441" t="s">
        <v>18</v>
      </c>
      <c r="J1441" t="str">
        <f>"5142477082"</f>
        <v>5142477082</v>
      </c>
      <c r="K1441" t="s">
        <v>5502</v>
      </c>
      <c r="L1441" t="s">
        <v>869</v>
      </c>
      <c r="M1441" t="s">
        <v>21</v>
      </c>
    </row>
    <row r="1442" spans="1:13" x14ac:dyDescent="0.35">
      <c r="A1442" t="str">
        <f>"624-3499"</f>
        <v>624-3499</v>
      </c>
      <c r="B1442" t="s">
        <v>5503</v>
      </c>
      <c r="C1442" t="str">
        <f>"9363"</f>
        <v>9363</v>
      </c>
      <c r="D1442" t="str">
        <f>"101"</f>
        <v>101</v>
      </c>
      <c r="E1442" t="s">
        <v>830</v>
      </c>
      <c r="F1442" t="s">
        <v>24</v>
      </c>
      <c r="G1442" t="s">
        <v>5504</v>
      </c>
      <c r="H1442" t="s">
        <v>17</v>
      </c>
      <c r="I1442" t="s">
        <v>18</v>
      </c>
      <c r="J1442" t="str">
        <f>"5144315228"</f>
        <v>5144315228</v>
      </c>
      <c r="K1442" t="s">
        <v>5505</v>
      </c>
      <c r="L1442" t="s">
        <v>396</v>
      </c>
      <c r="M1442" t="s">
        <v>21</v>
      </c>
    </row>
    <row r="1443" spans="1:13" x14ac:dyDescent="0.35">
      <c r="A1443" t="str">
        <f>"624-8734"</f>
        <v>624-8734</v>
      </c>
      <c r="B1443" t="s">
        <v>5506</v>
      </c>
      <c r="C1443" t="str">
        <f>"6387"</f>
        <v>6387</v>
      </c>
      <c r="E1443" t="s">
        <v>5507</v>
      </c>
      <c r="F1443" t="s">
        <v>24</v>
      </c>
      <c r="G1443" t="s">
        <v>5508</v>
      </c>
      <c r="H1443" t="s">
        <v>17</v>
      </c>
      <c r="I1443" t="s">
        <v>18</v>
      </c>
      <c r="J1443" t="str">
        <f>"4389277802"</f>
        <v>4389277802</v>
      </c>
      <c r="K1443" t="s">
        <v>5509</v>
      </c>
      <c r="L1443" t="s">
        <v>396</v>
      </c>
      <c r="M1443" t="s">
        <v>21</v>
      </c>
    </row>
    <row r="1444" spans="1:13" x14ac:dyDescent="0.35">
      <c r="A1444" t="str">
        <f>"236-1718"</f>
        <v>236-1718</v>
      </c>
      <c r="B1444" t="s">
        <v>5510</v>
      </c>
      <c r="C1444" t="str">
        <f>"6836"</f>
        <v>6836</v>
      </c>
      <c r="E1444" t="s">
        <v>5511</v>
      </c>
      <c r="F1444" t="s">
        <v>40</v>
      </c>
      <c r="G1444" t="s">
        <v>5512</v>
      </c>
      <c r="H1444" t="s">
        <v>17</v>
      </c>
      <c r="I1444" t="s">
        <v>18</v>
      </c>
      <c r="J1444" t="str">
        <f>"5144429821"</f>
        <v>5144429821</v>
      </c>
      <c r="K1444" t="s">
        <v>5513</v>
      </c>
      <c r="L1444" t="s">
        <v>137</v>
      </c>
      <c r="M1444" t="s">
        <v>21</v>
      </c>
    </row>
    <row r="1445" spans="1:13" x14ac:dyDescent="0.35">
      <c r="A1445" t="str">
        <f>"236-2707"</f>
        <v>236-2707</v>
      </c>
      <c r="B1445" t="s">
        <v>5514</v>
      </c>
      <c r="C1445" t="str">
        <f>"9231"</f>
        <v>9231</v>
      </c>
      <c r="E1445" t="s">
        <v>1494</v>
      </c>
      <c r="F1445" t="s">
        <v>24</v>
      </c>
      <c r="G1445" t="s">
        <v>5515</v>
      </c>
      <c r="H1445" t="s">
        <v>17</v>
      </c>
      <c r="I1445" t="s">
        <v>18</v>
      </c>
      <c r="J1445" t="str">
        <f>"4384038086"</f>
        <v>4384038086</v>
      </c>
      <c r="K1445" t="s">
        <v>5516</v>
      </c>
      <c r="L1445" t="s">
        <v>220</v>
      </c>
      <c r="M1445" t="s">
        <v>21</v>
      </c>
    </row>
    <row r="1446" spans="1:13" x14ac:dyDescent="0.35">
      <c r="A1446" t="str">
        <f>"627-0014"</f>
        <v>627-0014</v>
      </c>
      <c r="B1446" t="s">
        <v>5517</v>
      </c>
      <c r="C1446" t="str">
        <f>"1750"</f>
        <v>1750</v>
      </c>
      <c r="E1446" t="s">
        <v>5518</v>
      </c>
      <c r="F1446" t="s">
        <v>24</v>
      </c>
      <c r="G1446" t="s">
        <v>5519</v>
      </c>
      <c r="H1446" t="s">
        <v>17</v>
      </c>
      <c r="I1446" t="s">
        <v>18</v>
      </c>
      <c r="J1446" t="str">
        <f>"5149781180"</f>
        <v>5149781180</v>
      </c>
      <c r="K1446" t="s">
        <v>5520</v>
      </c>
      <c r="L1446" t="s">
        <v>76</v>
      </c>
      <c r="M1446" t="s">
        <v>21</v>
      </c>
    </row>
    <row r="1447" spans="1:13" x14ac:dyDescent="0.35">
      <c r="A1447" t="str">
        <f>"627-0270"</f>
        <v>627-0270</v>
      </c>
      <c r="B1447" t="s">
        <v>5521</v>
      </c>
      <c r="C1447" t="str">
        <f>"1310"</f>
        <v>1310</v>
      </c>
      <c r="E1447" t="s">
        <v>5522</v>
      </c>
      <c r="F1447" t="s">
        <v>24</v>
      </c>
      <c r="G1447" t="s">
        <v>2937</v>
      </c>
      <c r="H1447" t="s">
        <v>17</v>
      </c>
      <c r="I1447" t="s">
        <v>18</v>
      </c>
      <c r="J1447" t="str">
        <f>"4388817416"</f>
        <v>4388817416</v>
      </c>
      <c r="K1447" t="s">
        <v>5523</v>
      </c>
      <c r="L1447" t="s">
        <v>220</v>
      </c>
      <c r="M1447" t="s">
        <v>21</v>
      </c>
    </row>
    <row r="1448" spans="1:13" x14ac:dyDescent="0.35">
      <c r="A1448" t="str">
        <f>"068-4012"</f>
        <v>068-4012</v>
      </c>
      <c r="B1448" t="s">
        <v>5524</v>
      </c>
      <c r="C1448" t="str">
        <f>"10"</f>
        <v>10</v>
      </c>
      <c r="D1448" t="str">
        <f>"2"</f>
        <v>2</v>
      </c>
      <c r="E1448" t="s">
        <v>5525</v>
      </c>
      <c r="F1448" t="s">
        <v>5526</v>
      </c>
      <c r="G1448" t="s">
        <v>5527</v>
      </c>
      <c r="H1448" t="s">
        <v>17</v>
      </c>
      <c r="I1448" t="s">
        <v>18</v>
      </c>
      <c r="J1448" t="str">
        <f>"4187303827"</f>
        <v>4187303827</v>
      </c>
      <c r="K1448" t="s">
        <v>5528</v>
      </c>
      <c r="L1448" t="s">
        <v>39</v>
      </c>
      <c r="M1448" t="s">
        <v>21</v>
      </c>
    </row>
    <row r="1449" spans="1:13" x14ac:dyDescent="0.35">
      <c r="A1449" t="str">
        <f>"090-5101"</f>
        <v>090-5101</v>
      </c>
      <c r="B1449" t="s">
        <v>5529</v>
      </c>
      <c r="C1449" t="str">
        <f>"2881"</f>
        <v>2881</v>
      </c>
      <c r="E1449" t="s">
        <v>5530</v>
      </c>
      <c r="F1449" t="s">
        <v>24</v>
      </c>
      <c r="G1449" t="s">
        <v>5531</v>
      </c>
      <c r="H1449" t="s">
        <v>17</v>
      </c>
      <c r="I1449" t="s">
        <v>18</v>
      </c>
      <c r="J1449" t="str">
        <f>"4387285868"</f>
        <v>4387285868</v>
      </c>
      <c r="K1449" t="s">
        <v>5532</v>
      </c>
      <c r="L1449" t="s">
        <v>29</v>
      </c>
      <c r="M1449" t="s">
        <v>21</v>
      </c>
    </row>
    <row r="1450" spans="1:13" x14ac:dyDescent="0.35">
      <c r="A1450" t="str">
        <f>"176-5442"</f>
        <v>176-5442</v>
      </c>
      <c r="B1450" t="s">
        <v>5533</v>
      </c>
      <c r="C1450" t="str">
        <f>"831"</f>
        <v>831</v>
      </c>
      <c r="E1450" t="s">
        <v>3435</v>
      </c>
      <c r="F1450" t="s">
        <v>24</v>
      </c>
      <c r="G1450" t="s">
        <v>5534</v>
      </c>
      <c r="H1450" t="s">
        <v>17</v>
      </c>
      <c r="I1450" t="s">
        <v>18</v>
      </c>
      <c r="J1450" t="str">
        <f>"5145817559"</f>
        <v>5145817559</v>
      </c>
      <c r="K1450" t="s">
        <v>5535</v>
      </c>
      <c r="L1450" t="s">
        <v>220</v>
      </c>
      <c r="M1450" t="s">
        <v>21</v>
      </c>
    </row>
    <row r="1451" spans="1:13" x14ac:dyDescent="0.35">
      <c r="A1451" t="str">
        <f>"185-9633"</f>
        <v>185-9633</v>
      </c>
      <c r="B1451" t="s">
        <v>5536</v>
      </c>
      <c r="C1451" t="str">
        <f>"5285"</f>
        <v>5285</v>
      </c>
      <c r="E1451" t="s">
        <v>5537</v>
      </c>
      <c r="F1451" t="s">
        <v>24</v>
      </c>
      <c r="G1451" t="s">
        <v>5538</v>
      </c>
      <c r="H1451" t="s">
        <v>17</v>
      </c>
      <c r="I1451" t="s">
        <v>18</v>
      </c>
      <c r="J1451" t="str">
        <f>"5146078411"</f>
        <v>5146078411</v>
      </c>
      <c r="K1451" t="s">
        <v>5539</v>
      </c>
      <c r="L1451" t="s">
        <v>396</v>
      </c>
      <c r="M1451" t="s">
        <v>21</v>
      </c>
    </row>
    <row r="1452" spans="1:13" x14ac:dyDescent="0.35">
      <c r="A1452" t="str">
        <f>"205-7144"</f>
        <v>205-7144</v>
      </c>
      <c r="B1452" t="s">
        <v>5540</v>
      </c>
      <c r="C1452" t="str">
        <f>"7627"</f>
        <v>7627</v>
      </c>
      <c r="E1452" t="s">
        <v>3523</v>
      </c>
      <c r="F1452" t="s">
        <v>24</v>
      </c>
      <c r="G1452" t="s">
        <v>5541</v>
      </c>
      <c r="H1452" t="s">
        <v>17</v>
      </c>
      <c r="I1452" t="s">
        <v>18</v>
      </c>
      <c r="J1452" t="str">
        <f>"5145495837"</f>
        <v>5145495837</v>
      </c>
      <c r="K1452" t="s">
        <v>5542</v>
      </c>
      <c r="L1452" t="s">
        <v>39</v>
      </c>
      <c r="M1452" t="s">
        <v>21</v>
      </c>
    </row>
    <row r="1453" spans="1:13" x14ac:dyDescent="0.35">
      <c r="A1453" t="str">
        <f>"227-9549"</f>
        <v>227-9549</v>
      </c>
      <c r="B1453" t="s">
        <v>5543</v>
      </c>
      <c r="C1453" t="str">
        <f>"2690"</f>
        <v>2690</v>
      </c>
      <c r="E1453" t="s">
        <v>4485</v>
      </c>
      <c r="F1453" t="s">
        <v>24</v>
      </c>
      <c r="G1453" t="s">
        <v>3608</v>
      </c>
      <c r="H1453" t="s">
        <v>17</v>
      </c>
      <c r="I1453" t="s">
        <v>18</v>
      </c>
      <c r="J1453" t="str">
        <f>"4385299255"</f>
        <v>4385299255</v>
      </c>
      <c r="K1453" t="s">
        <v>5544</v>
      </c>
      <c r="L1453" t="s">
        <v>319</v>
      </c>
      <c r="M1453" t="s">
        <v>21</v>
      </c>
    </row>
    <row r="1454" spans="1:13" x14ac:dyDescent="0.35">
      <c r="A1454" t="str">
        <f>"228-2369"</f>
        <v>228-2369</v>
      </c>
      <c r="B1454" t="s">
        <v>5545</v>
      </c>
      <c r="C1454" t="str">
        <f>"4325"</f>
        <v>4325</v>
      </c>
      <c r="E1454" t="s">
        <v>2747</v>
      </c>
      <c r="F1454" t="s">
        <v>157</v>
      </c>
      <c r="G1454" t="s">
        <v>2748</v>
      </c>
      <c r="H1454" t="s">
        <v>17</v>
      </c>
      <c r="I1454" t="s">
        <v>18</v>
      </c>
      <c r="J1454" t="str">
        <f>"4383344510"</f>
        <v>4383344510</v>
      </c>
      <c r="K1454" t="s">
        <v>5546</v>
      </c>
      <c r="L1454" t="s">
        <v>350</v>
      </c>
      <c r="M1454" t="s">
        <v>21</v>
      </c>
    </row>
    <row r="1455" spans="1:13" x14ac:dyDescent="0.35">
      <c r="A1455" t="str">
        <f>"236-3498"</f>
        <v>236-3498</v>
      </c>
      <c r="B1455" t="s">
        <v>5547</v>
      </c>
      <c r="C1455" t="str">
        <f>"543"</f>
        <v>543</v>
      </c>
      <c r="E1455" t="s">
        <v>5548</v>
      </c>
      <c r="F1455" t="s">
        <v>24</v>
      </c>
      <c r="G1455" t="s">
        <v>5549</v>
      </c>
      <c r="H1455" t="s">
        <v>17</v>
      </c>
      <c r="I1455" t="s">
        <v>18</v>
      </c>
      <c r="J1455" t="str">
        <f>"5148060747"</f>
        <v>5148060747</v>
      </c>
      <c r="K1455" t="s">
        <v>5550</v>
      </c>
      <c r="L1455" t="s">
        <v>220</v>
      </c>
      <c r="M1455" t="s">
        <v>21</v>
      </c>
    </row>
    <row r="1456" spans="1:13" x14ac:dyDescent="0.35">
      <c r="A1456" t="str">
        <f>"237-9475"</f>
        <v>237-9475</v>
      </c>
      <c r="B1456" t="s">
        <v>5551</v>
      </c>
      <c r="C1456" t="str">
        <f>"9225"</f>
        <v>9225</v>
      </c>
      <c r="E1456" t="s">
        <v>840</v>
      </c>
      <c r="F1456" t="s">
        <v>24</v>
      </c>
      <c r="G1456" t="s">
        <v>5552</v>
      </c>
      <c r="H1456" t="s">
        <v>17</v>
      </c>
      <c r="I1456" t="s">
        <v>18</v>
      </c>
      <c r="J1456" t="str">
        <f>"5145858611"</f>
        <v>5145858611</v>
      </c>
      <c r="K1456" t="s">
        <v>5553</v>
      </c>
      <c r="L1456" t="s">
        <v>76</v>
      </c>
      <c r="M1456" t="s">
        <v>21</v>
      </c>
    </row>
    <row r="1457" spans="1:13" x14ac:dyDescent="0.35">
      <c r="A1457" t="str">
        <f>"198-0882"</f>
        <v>198-0882</v>
      </c>
      <c r="B1457" t="s">
        <v>5554</v>
      </c>
      <c r="C1457" t="str">
        <f>"10654"</f>
        <v>10654</v>
      </c>
      <c r="E1457" t="s">
        <v>5555</v>
      </c>
      <c r="F1457" t="s">
        <v>24</v>
      </c>
      <c r="G1457" t="s">
        <v>5556</v>
      </c>
      <c r="H1457" t="s">
        <v>17</v>
      </c>
      <c r="I1457" t="s">
        <v>18</v>
      </c>
      <c r="J1457" t="str">
        <f>"4387632744"</f>
        <v>4387632744</v>
      </c>
      <c r="K1457" t="s">
        <v>5557</v>
      </c>
      <c r="L1457" t="s">
        <v>220</v>
      </c>
      <c r="M1457" t="s">
        <v>21</v>
      </c>
    </row>
    <row r="1458" spans="1:13" x14ac:dyDescent="0.35">
      <c r="A1458" t="str">
        <f>"198-1397"</f>
        <v>198-1397</v>
      </c>
      <c r="B1458" t="s">
        <v>5558</v>
      </c>
      <c r="C1458" t="str">
        <f>"11015"</f>
        <v>11015</v>
      </c>
      <c r="E1458" t="s">
        <v>5559</v>
      </c>
      <c r="F1458" t="s">
        <v>24</v>
      </c>
      <c r="G1458" t="s">
        <v>5560</v>
      </c>
      <c r="H1458" t="s">
        <v>17</v>
      </c>
      <c r="I1458" t="s">
        <v>18</v>
      </c>
      <c r="J1458" t="str">
        <f>"5146046424"</f>
        <v>5146046424</v>
      </c>
      <c r="K1458" t="s">
        <v>5561</v>
      </c>
      <c r="L1458" t="s">
        <v>193</v>
      </c>
      <c r="M1458" t="s">
        <v>21</v>
      </c>
    </row>
    <row r="1459" spans="1:13" x14ac:dyDescent="0.35">
      <c r="A1459" t="str">
        <f>"207-7351"</f>
        <v>207-7351</v>
      </c>
      <c r="B1459" t="s">
        <v>5562</v>
      </c>
      <c r="C1459" t="str">
        <f>"4807"</f>
        <v>4807</v>
      </c>
      <c r="E1459" t="s">
        <v>5563</v>
      </c>
      <c r="F1459" t="s">
        <v>24</v>
      </c>
      <c r="G1459" t="s">
        <v>5564</v>
      </c>
      <c r="H1459" t="s">
        <v>17</v>
      </c>
      <c r="I1459" t="s">
        <v>18</v>
      </c>
      <c r="J1459" t="str">
        <f>"4383903777"</f>
        <v>4383903777</v>
      </c>
      <c r="K1459" t="s">
        <v>5565</v>
      </c>
      <c r="L1459" t="s">
        <v>193</v>
      </c>
      <c r="M1459" t="s">
        <v>21</v>
      </c>
    </row>
    <row r="1460" spans="1:13" x14ac:dyDescent="0.35">
      <c r="A1460" t="str">
        <f>"216-4605"</f>
        <v>216-4605</v>
      </c>
      <c r="B1460" t="s">
        <v>5566</v>
      </c>
      <c r="C1460" t="str">
        <f>"1157"</f>
        <v>1157</v>
      </c>
      <c r="E1460" t="s">
        <v>5567</v>
      </c>
      <c r="F1460" t="s">
        <v>1296</v>
      </c>
      <c r="G1460" t="s">
        <v>5568</v>
      </c>
      <c r="H1460" t="s">
        <v>17</v>
      </c>
      <c r="I1460" t="s">
        <v>18</v>
      </c>
      <c r="J1460" t="str">
        <f>"4384063839"</f>
        <v>4384063839</v>
      </c>
      <c r="K1460" t="s">
        <v>5569</v>
      </c>
      <c r="L1460" t="s">
        <v>39</v>
      </c>
      <c r="M1460" t="s">
        <v>21</v>
      </c>
    </row>
    <row r="1461" spans="1:13" x14ac:dyDescent="0.35">
      <c r="A1461" t="str">
        <f>"216-5674"</f>
        <v>216-5674</v>
      </c>
      <c r="B1461" t="s">
        <v>5570</v>
      </c>
      <c r="C1461" t="str">
        <f>"8484"</f>
        <v>8484</v>
      </c>
      <c r="E1461" t="s">
        <v>5571</v>
      </c>
      <c r="F1461" t="s">
        <v>24</v>
      </c>
      <c r="G1461" t="s">
        <v>5572</v>
      </c>
      <c r="H1461" t="s">
        <v>17</v>
      </c>
      <c r="I1461" t="s">
        <v>18</v>
      </c>
      <c r="J1461" t="str">
        <f>"4385015860"</f>
        <v>4385015860</v>
      </c>
      <c r="K1461" t="s">
        <v>5573</v>
      </c>
      <c r="L1461" t="s">
        <v>869</v>
      </c>
      <c r="M1461" t="s">
        <v>21</v>
      </c>
    </row>
    <row r="1462" spans="1:13" x14ac:dyDescent="0.35">
      <c r="A1462" t="str">
        <f>"223-5851"</f>
        <v>223-5851</v>
      </c>
      <c r="B1462" t="s">
        <v>5574</v>
      </c>
      <c r="C1462" t="str">
        <f>"1015"</f>
        <v>1015</v>
      </c>
      <c r="E1462" t="s">
        <v>5575</v>
      </c>
      <c r="F1462" t="s">
        <v>24</v>
      </c>
      <c r="G1462" t="s">
        <v>5576</v>
      </c>
      <c r="H1462" t="s">
        <v>17</v>
      </c>
      <c r="I1462" t="s">
        <v>18</v>
      </c>
      <c r="J1462" t="str">
        <f>"4385203151"</f>
        <v>4385203151</v>
      </c>
      <c r="K1462" t="s">
        <v>5577</v>
      </c>
      <c r="L1462" t="s">
        <v>27</v>
      </c>
      <c r="M1462" t="s">
        <v>21</v>
      </c>
    </row>
    <row r="1463" spans="1:13" x14ac:dyDescent="0.35">
      <c r="A1463" t="str">
        <f>"212-7680"</f>
        <v>212-7680</v>
      </c>
      <c r="B1463" t="s">
        <v>5578</v>
      </c>
      <c r="C1463" t="str">
        <f>"6061"</f>
        <v>6061</v>
      </c>
      <c r="D1463" t="str">
        <f>"402"</f>
        <v>402</v>
      </c>
      <c r="E1463" t="s">
        <v>445</v>
      </c>
      <c r="F1463" t="s">
        <v>24</v>
      </c>
      <c r="G1463" t="s">
        <v>5579</v>
      </c>
      <c r="H1463" t="s">
        <v>17</v>
      </c>
      <c r="I1463" t="s">
        <v>18</v>
      </c>
      <c r="J1463" t="str">
        <f>"5148833669"</f>
        <v>5148833669</v>
      </c>
      <c r="K1463" t="s">
        <v>5580</v>
      </c>
      <c r="L1463" t="s">
        <v>534</v>
      </c>
      <c r="M1463" t="s">
        <v>21</v>
      </c>
    </row>
    <row r="1464" spans="1:13" x14ac:dyDescent="0.35">
      <c r="A1464" t="str">
        <f>"213-3398"</f>
        <v>213-3398</v>
      </c>
      <c r="B1464" t="s">
        <v>5581</v>
      </c>
      <c r="C1464" t="str">
        <f>"6673"</f>
        <v>6673</v>
      </c>
      <c r="D1464" t="str">
        <f>"1"</f>
        <v>1</v>
      </c>
      <c r="E1464" t="s">
        <v>527</v>
      </c>
      <c r="F1464" t="s">
        <v>24</v>
      </c>
      <c r="G1464" t="s">
        <v>528</v>
      </c>
      <c r="H1464" t="s">
        <v>17</v>
      </c>
      <c r="I1464" t="s">
        <v>18</v>
      </c>
      <c r="J1464" t="str">
        <f>"8193885572"</f>
        <v>8193885572</v>
      </c>
      <c r="K1464" t="s">
        <v>5582</v>
      </c>
      <c r="L1464" t="s">
        <v>313</v>
      </c>
      <c r="M1464" t="s">
        <v>21</v>
      </c>
    </row>
    <row r="1465" spans="1:13" x14ac:dyDescent="0.35">
      <c r="A1465" t="str">
        <f>"213-4110"</f>
        <v>213-4110</v>
      </c>
      <c r="B1465" t="s">
        <v>5583</v>
      </c>
      <c r="C1465" t="str">
        <f>"6949"</f>
        <v>6949</v>
      </c>
      <c r="D1465" t="str">
        <f>"A"</f>
        <v>A</v>
      </c>
      <c r="E1465" t="s">
        <v>3232</v>
      </c>
      <c r="F1465" t="s">
        <v>24</v>
      </c>
      <c r="G1465" t="s">
        <v>5584</v>
      </c>
      <c r="H1465" t="s">
        <v>17</v>
      </c>
      <c r="I1465" t="s">
        <v>18</v>
      </c>
      <c r="J1465" t="str">
        <f>"5145624824"</f>
        <v>5145624824</v>
      </c>
      <c r="K1465" t="s">
        <v>5585</v>
      </c>
      <c r="L1465" t="s">
        <v>396</v>
      </c>
      <c r="M1465" t="s">
        <v>21</v>
      </c>
    </row>
    <row r="1466" spans="1:13" x14ac:dyDescent="0.35">
      <c r="A1466" t="str">
        <f>"218-3009"</f>
        <v>218-3009</v>
      </c>
      <c r="B1466" t="s">
        <v>5586</v>
      </c>
      <c r="C1466" t="str">
        <f>"4902"</f>
        <v>4902</v>
      </c>
      <c r="E1466" t="s">
        <v>306</v>
      </c>
      <c r="F1466" t="s">
        <v>24</v>
      </c>
      <c r="G1466" t="s">
        <v>5587</v>
      </c>
      <c r="H1466" t="s">
        <v>17</v>
      </c>
      <c r="I1466" t="s">
        <v>18</v>
      </c>
      <c r="J1466" t="str">
        <f>"4383571907"</f>
        <v>4383571907</v>
      </c>
      <c r="K1466" t="s">
        <v>5588</v>
      </c>
      <c r="L1466" t="s">
        <v>869</v>
      </c>
      <c r="M1466" t="s">
        <v>21</v>
      </c>
    </row>
    <row r="1467" spans="1:13" x14ac:dyDescent="0.35">
      <c r="A1467" t="str">
        <f>"215-2231"</f>
        <v>215-2231</v>
      </c>
      <c r="B1467" t="s">
        <v>5589</v>
      </c>
      <c r="C1467" t="str">
        <f>"2"</f>
        <v>2</v>
      </c>
      <c r="E1467" t="s">
        <v>5590</v>
      </c>
      <c r="F1467" t="s">
        <v>24</v>
      </c>
      <c r="G1467" t="s">
        <v>5591</v>
      </c>
      <c r="H1467" t="s">
        <v>17</v>
      </c>
      <c r="I1467" t="s">
        <v>18</v>
      </c>
      <c r="J1467" t="str">
        <f>"4385205896"</f>
        <v>4385205896</v>
      </c>
      <c r="K1467" t="s">
        <v>5592</v>
      </c>
      <c r="L1467" t="s">
        <v>198</v>
      </c>
      <c r="M1467" t="s">
        <v>21</v>
      </c>
    </row>
    <row r="1468" spans="1:13" x14ac:dyDescent="0.35">
      <c r="A1468" t="str">
        <f>"226-4083"</f>
        <v>226-4083</v>
      </c>
      <c r="B1468" t="s">
        <v>5593</v>
      </c>
      <c r="C1468" t="str">
        <f>"5095"</f>
        <v>5095</v>
      </c>
      <c r="E1468" t="s">
        <v>5594</v>
      </c>
      <c r="F1468" t="s">
        <v>54</v>
      </c>
      <c r="G1468" t="s">
        <v>5595</v>
      </c>
      <c r="H1468" t="s">
        <v>17</v>
      </c>
      <c r="I1468" t="s">
        <v>18</v>
      </c>
      <c r="J1468" t="str">
        <f>"5144525984"</f>
        <v>5144525984</v>
      </c>
      <c r="K1468" t="s">
        <v>5596</v>
      </c>
      <c r="L1468" t="s">
        <v>438</v>
      </c>
      <c r="M1468" t="s">
        <v>21</v>
      </c>
    </row>
    <row r="1469" spans="1:13" x14ac:dyDescent="0.35">
      <c r="A1469" t="str">
        <f>"226-4622"</f>
        <v>226-4622</v>
      </c>
      <c r="B1469" t="s">
        <v>5597</v>
      </c>
      <c r="C1469" t="str">
        <f>"9200"</f>
        <v>9200</v>
      </c>
      <c r="E1469" t="s">
        <v>694</v>
      </c>
      <c r="F1469" t="s">
        <v>24</v>
      </c>
      <c r="G1469" t="s">
        <v>5598</v>
      </c>
      <c r="H1469" t="s">
        <v>17</v>
      </c>
      <c r="I1469" t="s">
        <v>18</v>
      </c>
      <c r="J1469" t="str">
        <f>"5146515879"</f>
        <v>5146515879</v>
      </c>
      <c r="K1469" t="s">
        <v>5599</v>
      </c>
      <c r="L1469" t="s">
        <v>39</v>
      </c>
      <c r="M1469" t="s">
        <v>21</v>
      </c>
    </row>
    <row r="1470" spans="1:13" x14ac:dyDescent="0.35">
      <c r="A1470" t="str">
        <f>"226-9496"</f>
        <v>226-9496</v>
      </c>
      <c r="B1470" t="s">
        <v>5600</v>
      </c>
      <c r="C1470" t="str">
        <f>"5765"</f>
        <v>5765</v>
      </c>
      <c r="E1470" t="s">
        <v>642</v>
      </c>
      <c r="F1470" t="s">
        <v>24</v>
      </c>
      <c r="G1470" t="s">
        <v>1113</v>
      </c>
      <c r="H1470" t="s">
        <v>17</v>
      </c>
      <c r="I1470" t="s">
        <v>18</v>
      </c>
      <c r="J1470" t="str">
        <f>"4389849928"</f>
        <v>4389849928</v>
      </c>
      <c r="K1470" t="s">
        <v>5601</v>
      </c>
      <c r="L1470" t="s">
        <v>86</v>
      </c>
      <c r="M1470" t="s">
        <v>21</v>
      </c>
    </row>
    <row r="1471" spans="1:13" x14ac:dyDescent="0.35">
      <c r="A1471" t="str">
        <f>"216-0462"</f>
        <v>216-0462</v>
      </c>
      <c r="B1471" t="s">
        <v>5602</v>
      </c>
      <c r="C1471" t="str">
        <f>"8640"</f>
        <v>8640</v>
      </c>
      <c r="E1471" t="s">
        <v>3523</v>
      </c>
      <c r="F1471" t="s">
        <v>24</v>
      </c>
      <c r="G1471" t="s">
        <v>5603</v>
      </c>
      <c r="H1471" t="s">
        <v>17</v>
      </c>
      <c r="I1471" t="s">
        <v>18</v>
      </c>
      <c r="J1471" t="str">
        <f>"4382262332"</f>
        <v>4382262332</v>
      </c>
      <c r="K1471" t="s">
        <v>5604</v>
      </c>
      <c r="L1471" t="s">
        <v>27</v>
      </c>
      <c r="M1471" t="s">
        <v>21</v>
      </c>
    </row>
    <row r="1472" spans="1:13" x14ac:dyDescent="0.35">
      <c r="A1472" t="str">
        <f>"222-3000"</f>
        <v>222-3000</v>
      </c>
      <c r="B1472" t="s">
        <v>5605</v>
      </c>
      <c r="C1472" t="str">
        <f>"3105"</f>
        <v>3105</v>
      </c>
      <c r="D1472" t="str">
        <f>"1"</f>
        <v>1</v>
      </c>
      <c r="E1472" t="s">
        <v>4485</v>
      </c>
      <c r="F1472" t="s">
        <v>24</v>
      </c>
      <c r="G1472" t="s">
        <v>5606</v>
      </c>
      <c r="H1472" t="s">
        <v>17</v>
      </c>
      <c r="I1472" t="s">
        <v>18</v>
      </c>
      <c r="J1472" t="str">
        <f>"5145597389"</f>
        <v>5145597389</v>
      </c>
      <c r="K1472" t="s">
        <v>5607</v>
      </c>
      <c r="L1472" t="s">
        <v>396</v>
      </c>
      <c r="M1472" t="s">
        <v>21</v>
      </c>
    </row>
    <row r="1473" spans="1:13" x14ac:dyDescent="0.35">
      <c r="A1473" t="str">
        <f>"225-9603"</f>
        <v>225-9603</v>
      </c>
      <c r="B1473" t="s">
        <v>5608</v>
      </c>
      <c r="C1473" t="str">
        <f>"5134"</f>
        <v>5134</v>
      </c>
      <c r="D1473" t="str">
        <f>"1"</f>
        <v>1</v>
      </c>
      <c r="E1473" t="s">
        <v>28</v>
      </c>
      <c r="F1473" t="s">
        <v>24</v>
      </c>
      <c r="G1473" t="s">
        <v>5609</v>
      </c>
      <c r="H1473" t="s">
        <v>17</v>
      </c>
      <c r="I1473" t="s">
        <v>18</v>
      </c>
      <c r="J1473" t="str">
        <f>"4388365574"</f>
        <v>4388365574</v>
      </c>
      <c r="K1473" t="s">
        <v>5610</v>
      </c>
      <c r="L1473" t="s">
        <v>869</v>
      </c>
      <c r="M1473" t="s">
        <v>21</v>
      </c>
    </row>
    <row r="1474" spans="1:13" x14ac:dyDescent="0.35">
      <c r="A1474" t="str">
        <f>"236-3929"</f>
        <v>236-3929</v>
      </c>
      <c r="B1474" t="s">
        <v>5611</v>
      </c>
      <c r="C1474" t="str">
        <f>"4610"</f>
        <v>4610</v>
      </c>
      <c r="D1474" t="str">
        <f>"05"</f>
        <v>05</v>
      </c>
      <c r="E1474" t="s">
        <v>5612</v>
      </c>
      <c r="F1474" t="s">
        <v>24</v>
      </c>
      <c r="G1474" t="s">
        <v>5613</v>
      </c>
      <c r="H1474" t="s">
        <v>17</v>
      </c>
      <c r="I1474" t="s">
        <v>18</v>
      </c>
      <c r="J1474" t="str">
        <f>"4384977524"</f>
        <v>4384977524</v>
      </c>
      <c r="K1474" t="s">
        <v>5614</v>
      </c>
      <c r="L1474" t="s">
        <v>76</v>
      </c>
      <c r="M1474" t="s">
        <v>21</v>
      </c>
    </row>
    <row r="1475" spans="1:13" x14ac:dyDescent="0.35">
      <c r="A1475" t="str">
        <f>"236-4168"</f>
        <v>236-4168</v>
      </c>
      <c r="B1475" t="s">
        <v>5615</v>
      </c>
      <c r="C1475" t="str">
        <f>"35"</f>
        <v>35</v>
      </c>
      <c r="E1475" t="s">
        <v>5616</v>
      </c>
      <c r="F1475" t="s">
        <v>1022</v>
      </c>
      <c r="G1475" t="s">
        <v>5617</v>
      </c>
      <c r="H1475" t="s">
        <v>17</v>
      </c>
      <c r="I1475" t="s">
        <v>18</v>
      </c>
      <c r="J1475" t="str">
        <f>"5145128681"</f>
        <v>5145128681</v>
      </c>
      <c r="K1475" t="s">
        <v>5618</v>
      </c>
      <c r="L1475" t="s">
        <v>534</v>
      </c>
      <c r="M1475" t="s">
        <v>21</v>
      </c>
    </row>
    <row r="1476" spans="1:13" x14ac:dyDescent="0.35">
      <c r="A1476" t="str">
        <f>"236-4245"</f>
        <v>236-4245</v>
      </c>
      <c r="B1476" t="s">
        <v>5619</v>
      </c>
      <c r="C1476" t="str">
        <f>"1855"</f>
        <v>1855</v>
      </c>
      <c r="D1476" t="str">
        <f>"103"</f>
        <v>103</v>
      </c>
      <c r="E1476" t="s">
        <v>3726</v>
      </c>
      <c r="F1476" t="s">
        <v>24</v>
      </c>
      <c r="G1476" t="s">
        <v>5620</v>
      </c>
      <c r="H1476" t="s">
        <v>17</v>
      </c>
      <c r="I1476" t="s">
        <v>18</v>
      </c>
      <c r="J1476" t="str">
        <f>"4383468690"</f>
        <v>4383468690</v>
      </c>
      <c r="K1476" t="s">
        <v>5621</v>
      </c>
      <c r="L1476" t="s">
        <v>220</v>
      </c>
      <c r="M1476" t="s">
        <v>21</v>
      </c>
    </row>
    <row r="1477" spans="1:13" x14ac:dyDescent="0.35">
      <c r="A1477" t="str">
        <f>"239-4373"</f>
        <v>239-4373</v>
      </c>
      <c r="B1477" t="s">
        <v>5622</v>
      </c>
      <c r="C1477" t="str">
        <f>"3433"</f>
        <v>3433</v>
      </c>
      <c r="E1477" t="s">
        <v>5623</v>
      </c>
      <c r="F1477" t="s">
        <v>143</v>
      </c>
      <c r="G1477" t="s">
        <v>5624</v>
      </c>
      <c r="H1477" t="s">
        <v>17</v>
      </c>
      <c r="I1477" t="s">
        <v>18</v>
      </c>
      <c r="J1477" t="str">
        <f>"5142449596"</f>
        <v>5142449596</v>
      </c>
      <c r="K1477" t="s">
        <v>5625</v>
      </c>
      <c r="L1477" t="s">
        <v>27</v>
      </c>
      <c r="M1477" t="s">
        <v>21</v>
      </c>
    </row>
    <row r="1478" spans="1:13" x14ac:dyDescent="0.35">
      <c r="A1478" t="str">
        <f>"613-4032"</f>
        <v>613-4032</v>
      </c>
      <c r="B1478" t="s">
        <v>5626</v>
      </c>
      <c r="C1478" t="str">
        <f>"6291"</f>
        <v>6291</v>
      </c>
      <c r="D1478" t="str">
        <f>"1"</f>
        <v>1</v>
      </c>
      <c r="E1478" t="s">
        <v>5368</v>
      </c>
      <c r="F1478" t="s">
        <v>24</v>
      </c>
      <c r="G1478" t="s">
        <v>5627</v>
      </c>
      <c r="H1478" t="s">
        <v>17</v>
      </c>
      <c r="I1478" t="s">
        <v>18</v>
      </c>
      <c r="J1478" t="str">
        <f>"4389267318"</f>
        <v>4389267318</v>
      </c>
      <c r="K1478" t="s">
        <v>5628</v>
      </c>
      <c r="L1478" t="s">
        <v>29</v>
      </c>
      <c r="M1478" t="s">
        <v>21</v>
      </c>
    </row>
    <row r="1479" spans="1:13" x14ac:dyDescent="0.35">
      <c r="A1479" t="str">
        <f>"622-7971"</f>
        <v>622-7971</v>
      </c>
      <c r="B1479" t="s">
        <v>5629</v>
      </c>
      <c r="C1479" t="str">
        <f>"11676"</f>
        <v>11676</v>
      </c>
      <c r="E1479" t="s">
        <v>5630</v>
      </c>
      <c r="F1479" t="s">
        <v>24</v>
      </c>
      <c r="G1479" t="s">
        <v>3740</v>
      </c>
      <c r="H1479" t="s">
        <v>17</v>
      </c>
      <c r="I1479" t="s">
        <v>18</v>
      </c>
      <c r="J1479" t="str">
        <f>"4385285915"</f>
        <v>4385285915</v>
      </c>
      <c r="K1479" t="s">
        <v>5631</v>
      </c>
      <c r="L1479" t="s">
        <v>76</v>
      </c>
      <c r="M1479" t="s">
        <v>21</v>
      </c>
    </row>
    <row r="1480" spans="1:13" x14ac:dyDescent="0.35">
      <c r="A1480" t="str">
        <f>"625-6895"</f>
        <v>625-6895</v>
      </c>
      <c r="B1480" t="s">
        <v>5632</v>
      </c>
      <c r="C1480" t="str">
        <f>"4274"</f>
        <v>4274</v>
      </c>
      <c r="E1480" t="s">
        <v>455</v>
      </c>
      <c r="F1480" t="s">
        <v>24</v>
      </c>
      <c r="G1480" t="s">
        <v>5633</v>
      </c>
      <c r="H1480" t="s">
        <v>17</v>
      </c>
      <c r="I1480" t="s">
        <v>18</v>
      </c>
      <c r="J1480" t="str">
        <f>"4383370897"</f>
        <v>4383370897</v>
      </c>
      <c r="K1480" t="s">
        <v>5634</v>
      </c>
      <c r="L1480" t="s">
        <v>193</v>
      </c>
      <c r="M1480" t="s">
        <v>21</v>
      </c>
    </row>
    <row r="1481" spans="1:13" x14ac:dyDescent="0.35">
      <c r="A1481" t="str">
        <f>"625-7005"</f>
        <v>625-7005</v>
      </c>
      <c r="B1481" t="s">
        <v>5635</v>
      </c>
      <c r="C1481" t="str">
        <f>"8161"</f>
        <v>8161</v>
      </c>
      <c r="D1481" t="str">
        <f>"04"</f>
        <v>04</v>
      </c>
      <c r="E1481" t="s">
        <v>1892</v>
      </c>
      <c r="F1481" t="s">
        <v>24</v>
      </c>
      <c r="G1481" t="s">
        <v>5636</v>
      </c>
      <c r="H1481" t="s">
        <v>17</v>
      </c>
      <c r="I1481" t="s">
        <v>18</v>
      </c>
      <c r="J1481" t="str">
        <f>"5145937760"</f>
        <v>5145937760</v>
      </c>
      <c r="K1481" t="s">
        <v>5637</v>
      </c>
      <c r="L1481" t="s">
        <v>396</v>
      </c>
      <c r="M1481" t="s">
        <v>21</v>
      </c>
    </row>
    <row r="1482" spans="1:13" x14ac:dyDescent="0.35">
      <c r="A1482" t="str">
        <f>"240-4118"</f>
        <v>240-4118</v>
      </c>
      <c r="B1482" t="s">
        <v>5638</v>
      </c>
      <c r="C1482" t="str">
        <f>"6400"</f>
        <v>6400</v>
      </c>
      <c r="E1482" t="s">
        <v>169</v>
      </c>
      <c r="F1482" t="s">
        <v>24</v>
      </c>
      <c r="G1482" t="s">
        <v>170</v>
      </c>
      <c r="H1482" t="s">
        <v>17</v>
      </c>
      <c r="I1482" t="s">
        <v>18</v>
      </c>
      <c r="J1482" t="str">
        <f>"5143761620"</f>
        <v>5143761620</v>
      </c>
      <c r="K1482" t="s">
        <v>5639</v>
      </c>
      <c r="L1482" t="s">
        <v>198</v>
      </c>
      <c r="M1482" t="s">
        <v>21</v>
      </c>
    </row>
    <row r="1483" spans="1:13" x14ac:dyDescent="0.35">
      <c r="A1483" t="str">
        <f>"628-4817"</f>
        <v>628-4817</v>
      </c>
      <c r="B1483" t="s">
        <v>5640</v>
      </c>
      <c r="C1483" t="str">
        <f>"8260"</f>
        <v>8260</v>
      </c>
      <c r="D1483" t="str">
        <f>"104"</f>
        <v>104</v>
      </c>
      <c r="E1483" t="s">
        <v>5641</v>
      </c>
      <c r="F1483" t="s">
        <v>24</v>
      </c>
      <c r="G1483" t="s">
        <v>5642</v>
      </c>
      <c r="H1483" t="s">
        <v>17</v>
      </c>
      <c r="I1483" t="s">
        <v>18</v>
      </c>
      <c r="J1483" t="str">
        <f>"4387877090"</f>
        <v>4387877090</v>
      </c>
      <c r="K1483" t="s">
        <v>5643</v>
      </c>
      <c r="L1483" t="s">
        <v>29</v>
      </c>
      <c r="M1483" t="s">
        <v>21</v>
      </c>
    </row>
    <row r="1484" spans="1:13" x14ac:dyDescent="0.35">
      <c r="A1484" t="str">
        <f>"622-1682"</f>
        <v>622-1682</v>
      </c>
      <c r="B1484" t="s">
        <v>5644</v>
      </c>
      <c r="C1484" t="str">
        <f>"4740"</f>
        <v>4740</v>
      </c>
      <c r="D1484" t="str">
        <f>"958"</f>
        <v>958</v>
      </c>
      <c r="E1484" t="s">
        <v>2419</v>
      </c>
      <c r="F1484" t="s">
        <v>24</v>
      </c>
      <c r="G1484" t="s">
        <v>5645</v>
      </c>
      <c r="H1484" t="s">
        <v>17</v>
      </c>
      <c r="I1484" t="s">
        <v>18</v>
      </c>
      <c r="J1484" t="str">
        <f>"4504210811"</f>
        <v>4504210811</v>
      </c>
      <c r="K1484" t="s">
        <v>5646</v>
      </c>
      <c r="L1484" t="s">
        <v>396</v>
      </c>
      <c r="M1484" t="s">
        <v>21</v>
      </c>
    </row>
    <row r="1485" spans="1:13" x14ac:dyDescent="0.35">
      <c r="A1485" t="str">
        <f>"633-8692"</f>
        <v>633-8692</v>
      </c>
      <c r="B1485" t="s">
        <v>5647</v>
      </c>
      <c r="C1485" t="str">
        <f>"7500"</f>
        <v>7500</v>
      </c>
      <c r="D1485" t="str">
        <f>"402"</f>
        <v>402</v>
      </c>
      <c r="E1485" t="s">
        <v>1457</v>
      </c>
      <c r="F1485" t="s">
        <v>24</v>
      </c>
      <c r="G1485" t="s">
        <v>5648</v>
      </c>
      <c r="H1485" t="s">
        <v>17</v>
      </c>
      <c r="I1485" t="s">
        <v>18</v>
      </c>
      <c r="J1485" t="str">
        <f>"4389239859"</f>
        <v>4389239859</v>
      </c>
      <c r="K1485" t="s">
        <v>5649</v>
      </c>
      <c r="L1485" t="s">
        <v>350</v>
      </c>
      <c r="M1485" t="s">
        <v>21</v>
      </c>
    </row>
    <row r="1486" spans="1:13" x14ac:dyDescent="0.35">
      <c r="A1486" t="str">
        <f>"221-9629"</f>
        <v>221-9629</v>
      </c>
      <c r="B1486" t="s">
        <v>5650</v>
      </c>
      <c r="C1486" t="str">
        <f>"2850"</f>
        <v>2850</v>
      </c>
      <c r="D1486" t="str">
        <f>"201"</f>
        <v>201</v>
      </c>
      <c r="E1486" t="s">
        <v>5651</v>
      </c>
      <c r="F1486" t="s">
        <v>5652</v>
      </c>
      <c r="G1486" t="s">
        <v>5653</v>
      </c>
      <c r="H1486" t="s">
        <v>17</v>
      </c>
      <c r="I1486" t="s">
        <v>18</v>
      </c>
      <c r="J1486" t="str">
        <f>"4382707142"</f>
        <v>4382707142</v>
      </c>
      <c r="K1486" t="s">
        <v>5654</v>
      </c>
      <c r="L1486" t="s">
        <v>350</v>
      </c>
      <c r="M1486" t="s">
        <v>21</v>
      </c>
    </row>
    <row r="1487" spans="1:13" x14ac:dyDescent="0.35">
      <c r="A1487" t="str">
        <f>"627-7118"</f>
        <v>627-7118</v>
      </c>
      <c r="B1487" t="s">
        <v>5655</v>
      </c>
      <c r="C1487" t="str">
        <f>"7955"</f>
        <v>7955</v>
      </c>
      <c r="D1487" t="str">
        <f>"4"</f>
        <v>4</v>
      </c>
      <c r="E1487" t="s">
        <v>3184</v>
      </c>
      <c r="F1487" t="s">
        <v>24</v>
      </c>
      <c r="G1487" t="s">
        <v>5656</v>
      </c>
      <c r="H1487" t="s">
        <v>17</v>
      </c>
      <c r="I1487" t="s">
        <v>18</v>
      </c>
      <c r="J1487" t="str">
        <f>"5142774662"</f>
        <v>5142774662</v>
      </c>
      <c r="K1487" t="s">
        <v>5657</v>
      </c>
      <c r="L1487" t="s">
        <v>4004</v>
      </c>
      <c r="M1487" t="s">
        <v>21</v>
      </c>
    </row>
    <row r="1488" spans="1:13" x14ac:dyDescent="0.35">
      <c r="A1488" t="str">
        <f>"235-6794"</f>
        <v>235-6794</v>
      </c>
      <c r="B1488" t="s">
        <v>5659</v>
      </c>
      <c r="C1488" t="str">
        <f>"11711"</f>
        <v>11711</v>
      </c>
      <c r="D1488" t="str">
        <f>"11711"</f>
        <v>11711</v>
      </c>
      <c r="E1488" t="s">
        <v>5660</v>
      </c>
      <c r="F1488" t="s">
        <v>24</v>
      </c>
      <c r="G1488" t="s">
        <v>5661</v>
      </c>
      <c r="H1488" t="s">
        <v>17</v>
      </c>
      <c r="I1488" t="s">
        <v>18</v>
      </c>
      <c r="J1488" t="str">
        <f>"5144027436"</f>
        <v>5144027436</v>
      </c>
      <c r="K1488" t="s">
        <v>5662</v>
      </c>
      <c r="L1488" t="s">
        <v>27</v>
      </c>
      <c r="M1488" t="s">
        <v>21</v>
      </c>
    </row>
    <row r="1489" spans="1:13" x14ac:dyDescent="0.35">
      <c r="A1489" t="str">
        <f>"623-9472"</f>
        <v>623-9472</v>
      </c>
      <c r="B1489" t="s">
        <v>5663</v>
      </c>
      <c r="C1489" t="str">
        <f>"11900"</f>
        <v>11900</v>
      </c>
      <c r="D1489" t="str">
        <f>"1"</f>
        <v>1</v>
      </c>
      <c r="E1489" t="s">
        <v>5664</v>
      </c>
      <c r="F1489" t="s">
        <v>24</v>
      </c>
      <c r="G1489" t="s">
        <v>5665</v>
      </c>
      <c r="H1489" t="s">
        <v>17</v>
      </c>
      <c r="I1489" t="s">
        <v>18</v>
      </c>
      <c r="J1489" t="str">
        <f>"5146197014"</f>
        <v>5146197014</v>
      </c>
      <c r="K1489" t="s">
        <v>5666</v>
      </c>
      <c r="L1489" t="s">
        <v>168</v>
      </c>
      <c r="M1489" t="s">
        <v>21</v>
      </c>
    </row>
    <row r="1490" spans="1:13" x14ac:dyDescent="0.35">
      <c r="A1490" t="str">
        <f>"626-9697"</f>
        <v>626-9697</v>
      </c>
      <c r="B1490" t="s">
        <v>5667</v>
      </c>
      <c r="C1490" t="str">
        <f>"9255"</f>
        <v>9255</v>
      </c>
      <c r="E1490" t="s">
        <v>472</v>
      </c>
      <c r="F1490" t="s">
        <v>24</v>
      </c>
      <c r="G1490" t="s">
        <v>5668</v>
      </c>
      <c r="H1490" t="s">
        <v>17</v>
      </c>
      <c r="I1490" t="s">
        <v>18</v>
      </c>
      <c r="J1490" t="str">
        <f>"5146493708"</f>
        <v>5146493708</v>
      </c>
      <c r="K1490" t="s">
        <v>5669</v>
      </c>
      <c r="L1490" t="s">
        <v>869</v>
      </c>
      <c r="M1490" t="s">
        <v>21</v>
      </c>
    </row>
    <row r="1491" spans="1:13" x14ac:dyDescent="0.35">
      <c r="A1491" t="str">
        <f>"213-9639"</f>
        <v>213-9639</v>
      </c>
      <c r="B1491" t="s">
        <v>5670</v>
      </c>
      <c r="C1491" t="str">
        <f>"3000"</f>
        <v>3000</v>
      </c>
      <c r="D1491" t="str">
        <f>"440"</f>
        <v>440</v>
      </c>
      <c r="E1491" t="s">
        <v>5671</v>
      </c>
      <c r="F1491" t="s">
        <v>256</v>
      </c>
      <c r="G1491" t="s">
        <v>5672</v>
      </c>
      <c r="H1491" t="s">
        <v>17</v>
      </c>
      <c r="I1491" t="s">
        <v>18</v>
      </c>
      <c r="J1491" t="str">
        <f>"5144318710"</f>
        <v>5144318710</v>
      </c>
      <c r="K1491" t="s">
        <v>5673</v>
      </c>
      <c r="L1491" t="s">
        <v>168</v>
      </c>
      <c r="M1491" t="s">
        <v>21</v>
      </c>
    </row>
    <row r="1492" spans="1:13" x14ac:dyDescent="0.35">
      <c r="A1492" t="str">
        <f>"223-6721"</f>
        <v>223-6721</v>
      </c>
      <c r="B1492" t="s">
        <v>5674</v>
      </c>
      <c r="C1492" t="str">
        <f>"9045"</f>
        <v>9045</v>
      </c>
      <c r="E1492" t="s">
        <v>4656</v>
      </c>
      <c r="F1492" t="s">
        <v>54</v>
      </c>
      <c r="G1492" t="s">
        <v>5675</v>
      </c>
      <c r="H1492" t="s">
        <v>17</v>
      </c>
      <c r="I1492" t="s">
        <v>18</v>
      </c>
      <c r="J1492" t="str">
        <f>"4389254788"</f>
        <v>4389254788</v>
      </c>
      <c r="K1492" t="s">
        <v>5676</v>
      </c>
      <c r="L1492" t="s">
        <v>466</v>
      </c>
      <c r="M1492" t="s">
        <v>21</v>
      </c>
    </row>
    <row r="1493" spans="1:13" x14ac:dyDescent="0.35">
      <c r="A1493" t="str">
        <f>"226-6848"</f>
        <v>226-6848</v>
      </c>
      <c r="B1493" t="s">
        <v>5677</v>
      </c>
      <c r="C1493" t="str">
        <f>"1491"</f>
        <v>1491</v>
      </c>
      <c r="E1493" t="s">
        <v>3394</v>
      </c>
      <c r="F1493" t="s">
        <v>54</v>
      </c>
      <c r="G1493" t="s">
        <v>5678</v>
      </c>
      <c r="H1493" t="s">
        <v>17</v>
      </c>
      <c r="I1493" t="s">
        <v>18</v>
      </c>
      <c r="J1493" t="str">
        <f>"5147177740"</f>
        <v>5147177740</v>
      </c>
      <c r="K1493" t="s">
        <v>5679</v>
      </c>
      <c r="L1493" t="s">
        <v>86</v>
      </c>
      <c r="M1493" t="s">
        <v>21</v>
      </c>
    </row>
    <row r="1494" spans="1:13" x14ac:dyDescent="0.35">
      <c r="A1494" t="str">
        <f>"625-1116"</f>
        <v>625-1116</v>
      </c>
      <c r="B1494" t="s">
        <v>5680</v>
      </c>
      <c r="C1494" t="str">
        <f>"7701"</f>
        <v>7701</v>
      </c>
      <c r="E1494" t="s">
        <v>5681</v>
      </c>
      <c r="F1494" t="s">
        <v>24</v>
      </c>
      <c r="G1494" t="s">
        <v>5682</v>
      </c>
      <c r="H1494" t="s">
        <v>17</v>
      </c>
      <c r="I1494" t="s">
        <v>18</v>
      </c>
      <c r="J1494" t="str">
        <f>"5144520134"</f>
        <v>5144520134</v>
      </c>
      <c r="K1494" t="s">
        <v>5683</v>
      </c>
      <c r="L1494" t="s">
        <v>86</v>
      </c>
      <c r="M1494" t="s">
        <v>21</v>
      </c>
    </row>
    <row r="1495" spans="1:13" x14ac:dyDescent="0.35">
      <c r="A1495" t="str">
        <f>"627-5387"</f>
        <v>627-5387</v>
      </c>
      <c r="B1495" t="s">
        <v>5684</v>
      </c>
      <c r="C1495" t="str">
        <f>"3469"</f>
        <v>3469</v>
      </c>
      <c r="D1495" t="str">
        <f>"353"</f>
        <v>353</v>
      </c>
      <c r="E1495" t="s">
        <v>455</v>
      </c>
      <c r="F1495" t="s">
        <v>24</v>
      </c>
      <c r="G1495" t="s">
        <v>1097</v>
      </c>
      <c r="H1495" t="s">
        <v>17</v>
      </c>
      <c r="I1495" t="s">
        <v>18</v>
      </c>
      <c r="J1495" t="str">
        <f>"5145731224"</f>
        <v>5145731224</v>
      </c>
      <c r="K1495" t="s">
        <v>5685</v>
      </c>
      <c r="L1495" t="s">
        <v>27</v>
      </c>
      <c r="M1495" t="s">
        <v>21</v>
      </c>
    </row>
    <row r="1496" spans="1:13" x14ac:dyDescent="0.35">
      <c r="A1496" t="str">
        <f>"627-4836"</f>
        <v>627-4836</v>
      </c>
      <c r="B1496" t="s">
        <v>5686</v>
      </c>
      <c r="C1496" t="str">
        <f>"70"</f>
        <v>70</v>
      </c>
      <c r="E1496" t="s">
        <v>5687</v>
      </c>
      <c r="F1496" t="s">
        <v>24</v>
      </c>
      <c r="G1496" t="s">
        <v>5688</v>
      </c>
      <c r="H1496" t="s">
        <v>17</v>
      </c>
      <c r="I1496" t="s">
        <v>18</v>
      </c>
      <c r="J1496" t="str">
        <f>"5146632105"</f>
        <v>5146632105</v>
      </c>
      <c r="K1496" t="s">
        <v>5689</v>
      </c>
      <c r="L1496" t="s">
        <v>193</v>
      </c>
      <c r="M1496" t="s">
        <v>21</v>
      </c>
    </row>
    <row r="1497" spans="1:13" x14ac:dyDescent="0.35">
      <c r="A1497" t="str">
        <f>"207-7308"</f>
        <v>207-7308</v>
      </c>
      <c r="B1497" t="s">
        <v>5690</v>
      </c>
      <c r="C1497" t="str">
        <f>"9057"</f>
        <v>9057</v>
      </c>
      <c r="E1497" t="s">
        <v>5691</v>
      </c>
      <c r="F1497" t="s">
        <v>24</v>
      </c>
      <c r="G1497" t="s">
        <v>5692</v>
      </c>
      <c r="H1497" t="s">
        <v>17</v>
      </c>
      <c r="I1497" t="s">
        <v>18</v>
      </c>
      <c r="J1497" t="str">
        <f>"5145660341"</f>
        <v>5145660341</v>
      </c>
      <c r="K1497" t="s">
        <v>5693</v>
      </c>
      <c r="L1497" t="s">
        <v>137</v>
      </c>
      <c r="M1497" t="s">
        <v>21</v>
      </c>
    </row>
    <row r="1498" spans="1:13" x14ac:dyDescent="0.35">
      <c r="A1498" t="str">
        <f>"208-1809"</f>
        <v>208-1809</v>
      </c>
      <c r="B1498" t="s">
        <v>5694</v>
      </c>
      <c r="C1498" t="str">
        <f>"1754"</f>
        <v>1754</v>
      </c>
      <c r="D1498" t="str">
        <f>"3"</f>
        <v>3</v>
      </c>
      <c r="E1498" t="s">
        <v>5695</v>
      </c>
      <c r="F1498" t="s">
        <v>24</v>
      </c>
      <c r="G1498" t="s">
        <v>5696</v>
      </c>
      <c r="H1498" t="s">
        <v>17</v>
      </c>
      <c r="I1498" t="s">
        <v>18</v>
      </c>
      <c r="J1498" t="str">
        <f>"5148064964"</f>
        <v>5148064964</v>
      </c>
      <c r="K1498" t="s">
        <v>5697</v>
      </c>
      <c r="L1498" t="s">
        <v>383</v>
      </c>
      <c r="M1498" t="s">
        <v>21</v>
      </c>
    </row>
    <row r="1499" spans="1:13" x14ac:dyDescent="0.35">
      <c r="A1499" t="str">
        <f>"216-4249"</f>
        <v>216-4249</v>
      </c>
      <c r="B1499" t="s">
        <v>5698</v>
      </c>
      <c r="C1499" t="str">
        <f>"1371"</f>
        <v>1371</v>
      </c>
      <c r="E1499" t="s">
        <v>5699</v>
      </c>
      <c r="F1499" t="s">
        <v>32</v>
      </c>
      <c r="G1499" t="s">
        <v>5700</v>
      </c>
      <c r="H1499" t="s">
        <v>17</v>
      </c>
      <c r="I1499" t="s">
        <v>18</v>
      </c>
      <c r="J1499" t="str">
        <f>"5147124073"</f>
        <v>5147124073</v>
      </c>
      <c r="K1499" t="s">
        <v>5701</v>
      </c>
      <c r="L1499" t="s">
        <v>220</v>
      </c>
      <c r="M1499" t="s">
        <v>21</v>
      </c>
    </row>
    <row r="1500" spans="1:13" x14ac:dyDescent="0.35">
      <c r="A1500" t="str">
        <f>"198-7330"</f>
        <v>198-7330</v>
      </c>
      <c r="B1500" t="s">
        <v>5702</v>
      </c>
      <c r="C1500" t="str">
        <f>"9211"</f>
        <v>9211</v>
      </c>
      <c r="E1500" t="s">
        <v>472</v>
      </c>
      <c r="F1500" t="s">
        <v>24</v>
      </c>
      <c r="G1500" t="s">
        <v>5668</v>
      </c>
      <c r="H1500" t="s">
        <v>17</v>
      </c>
      <c r="I1500" t="s">
        <v>18</v>
      </c>
      <c r="J1500" t="str">
        <f>"5144736516"</f>
        <v>5144736516</v>
      </c>
      <c r="K1500" t="s">
        <v>5703</v>
      </c>
      <c r="L1500" t="s">
        <v>198</v>
      </c>
      <c r="M1500" t="s">
        <v>21</v>
      </c>
    </row>
    <row r="1501" spans="1:13" x14ac:dyDescent="0.35">
      <c r="A1501" t="str">
        <f>"219-0998"</f>
        <v>219-0998</v>
      </c>
      <c r="B1501" t="s">
        <v>5704</v>
      </c>
      <c r="C1501" t="str">
        <f>"55"</f>
        <v>55</v>
      </c>
      <c r="D1501" t="str">
        <f>"221"</f>
        <v>221</v>
      </c>
      <c r="E1501" t="s">
        <v>2758</v>
      </c>
      <c r="F1501" t="s">
        <v>157</v>
      </c>
      <c r="G1501" t="s">
        <v>5705</v>
      </c>
      <c r="H1501" t="s">
        <v>17</v>
      </c>
      <c r="I1501" t="s">
        <v>18</v>
      </c>
      <c r="J1501" t="str">
        <f>"5142948882"</f>
        <v>5142948882</v>
      </c>
      <c r="K1501" t="s">
        <v>5706</v>
      </c>
      <c r="L1501" t="s">
        <v>220</v>
      </c>
      <c r="M1501" t="s">
        <v>21</v>
      </c>
    </row>
    <row r="1502" spans="1:13" x14ac:dyDescent="0.35">
      <c r="A1502" t="str">
        <f>"233-0302"</f>
        <v>233-0302</v>
      </c>
      <c r="B1502" t="s">
        <v>5707</v>
      </c>
      <c r="C1502" t="str">
        <f>"4722"</f>
        <v>4722</v>
      </c>
      <c r="E1502" t="s">
        <v>306</v>
      </c>
      <c r="F1502" t="s">
        <v>24</v>
      </c>
      <c r="G1502" t="s">
        <v>5708</v>
      </c>
      <c r="H1502" t="s">
        <v>17</v>
      </c>
      <c r="I1502" t="s">
        <v>18</v>
      </c>
      <c r="J1502" t="str">
        <f>"4385093300"</f>
        <v>4385093300</v>
      </c>
      <c r="K1502" t="s">
        <v>5709</v>
      </c>
      <c r="L1502" t="s">
        <v>168</v>
      </c>
      <c r="M1502" t="s">
        <v>21</v>
      </c>
    </row>
    <row r="1503" spans="1:13" x14ac:dyDescent="0.35">
      <c r="A1503" t="str">
        <f>"235-3801"</f>
        <v>235-3801</v>
      </c>
      <c r="B1503" t="s">
        <v>5710</v>
      </c>
      <c r="C1503" t="str">
        <f>"248"</f>
        <v>248</v>
      </c>
      <c r="E1503" t="s">
        <v>5711</v>
      </c>
      <c r="F1503" t="s">
        <v>54</v>
      </c>
      <c r="G1503" t="s">
        <v>5712</v>
      </c>
      <c r="H1503" t="s">
        <v>17</v>
      </c>
      <c r="I1503" t="s">
        <v>18</v>
      </c>
      <c r="J1503" t="str">
        <f>"4383797875"</f>
        <v>4383797875</v>
      </c>
      <c r="K1503" t="s">
        <v>5713</v>
      </c>
      <c r="L1503" t="s">
        <v>86</v>
      </c>
      <c r="M1503" t="s">
        <v>21</v>
      </c>
    </row>
    <row r="1504" spans="1:13" x14ac:dyDescent="0.35">
      <c r="A1504" t="str">
        <f>"235-4626"</f>
        <v>235-4626</v>
      </c>
      <c r="B1504" t="s">
        <v>5714</v>
      </c>
      <c r="C1504" t="str">
        <f>"7270"</f>
        <v>7270</v>
      </c>
      <c r="D1504" t="str">
        <f>"804"</f>
        <v>804</v>
      </c>
      <c r="E1504" t="s">
        <v>5715</v>
      </c>
      <c r="F1504" t="s">
        <v>24</v>
      </c>
      <c r="G1504" t="s">
        <v>5716</v>
      </c>
      <c r="H1504" t="s">
        <v>17</v>
      </c>
      <c r="I1504" t="s">
        <v>18</v>
      </c>
      <c r="J1504" t="str">
        <f>"5149731498"</f>
        <v>5149731498</v>
      </c>
      <c r="K1504" t="s">
        <v>5717</v>
      </c>
      <c r="L1504" t="s">
        <v>88</v>
      </c>
      <c r="M1504" t="s">
        <v>21</v>
      </c>
    </row>
    <row r="1505" spans="1:13" x14ac:dyDescent="0.35">
      <c r="A1505" t="str">
        <f>"235-6426"</f>
        <v>235-6426</v>
      </c>
      <c r="B1505" t="s">
        <v>5718</v>
      </c>
      <c r="C1505" t="str">
        <f>"1429"</f>
        <v>1429</v>
      </c>
      <c r="E1505" t="s">
        <v>2081</v>
      </c>
      <c r="F1505" t="s">
        <v>24</v>
      </c>
      <c r="G1505" t="s">
        <v>5719</v>
      </c>
      <c r="H1505" t="s">
        <v>17</v>
      </c>
      <c r="I1505" t="s">
        <v>18</v>
      </c>
      <c r="J1505" t="str">
        <f>"4385099563"</f>
        <v>4385099563</v>
      </c>
      <c r="K1505" t="s">
        <v>5720</v>
      </c>
      <c r="L1505" t="s">
        <v>869</v>
      </c>
      <c r="M1505" t="s">
        <v>21</v>
      </c>
    </row>
    <row r="1506" spans="1:13" x14ac:dyDescent="0.35">
      <c r="A1506" t="str">
        <f>"622-2821"</f>
        <v>622-2821</v>
      </c>
      <c r="B1506" t="s">
        <v>5721</v>
      </c>
      <c r="C1506" t="str">
        <f>"7151"</f>
        <v>7151</v>
      </c>
      <c r="E1506" t="s">
        <v>417</v>
      </c>
      <c r="F1506" t="s">
        <v>24</v>
      </c>
      <c r="G1506" t="s">
        <v>5722</v>
      </c>
      <c r="H1506" t="s">
        <v>17</v>
      </c>
      <c r="I1506" t="s">
        <v>18</v>
      </c>
      <c r="J1506" t="str">
        <f>"5147786044"</f>
        <v>5147786044</v>
      </c>
      <c r="K1506" t="s">
        <v>5723</v>
      </c>
      <c r="L1506" t="s">
        <v>396</v>
      </c>
      <c r="M1506" t="s">
        <v>21</v>
      </c>
    </row>
    <row r="1507" spans="1:13" x14ac:dyDescent="0.35">
      <c r="A1507" t="str">
        <f>"623-6894"</f>
        <v>623-6894</v>
      </c>
      <c r="B1507" t="s">
        <v>5724</v>
      </c>
      <c r="C1507" t="str">
        <f>"4257"</f>
        <v>4257</v>
      </c>
      <c r="E1507" t="s">
        <v>1300</v>
      </c>
      <c r="F1507" t="s">
        <v>40</v>
      </c>
      <c r="G1507" t="s">
        <v>5725</v>
      </c>
      <c r="H1507" t="s">
        <v>17</v>
      </c>
      <c r="I1507" t="s">
        <v>18</v>
      </c>
      <c r="J1507" t="str">
        <f>"5145674749"</f>
        <v>5145674749</v>
      </c>
      <c r="K1507" t="s">
        <v>5726</v>
      </c>
      <c r="L1507" t="s">
        <v>466</v>
      </c>
      <c r="M1507" t="s">
        <v>21</v>
      </c>
    </row>
    <row r="1508" spans="1:13" x14ac:dyDescent="0.35">
      <c r="A1508" t="str">
        <f>"187-9751"</f>
        <v>187-9751</v>
      </c>
      <c r="B1508" t="s">
        <v>5727</v>
      </c>
      <c r="C1508" t="str">
        <f>"9150"</f>
        <v>9150</v>
      </c>
      <c r="D1508" t="str">
        <f>"0"</f>
        <v>0</v>
      </c>
      <c r="E1508" t="s">
        <v>1230</v>
      </c>
      <c r="F1508" t="s">
        <v>24</v>
      </c>
      <c r="G1508" t="s">
        <v>5728</v>
      </c>
      <c r="H1508" t="s">
        <v>17</v>
      </c>
      <c r="I1508" t="s">
        <v>18</v>
      </c>
      <c r="J1508" t="str">
        <f>"4389219525"</f>
        <v>4389219525</v>
      </c>
      <c r="K1508" t="s">
        <v>5729</v>
      </c>
      <c r="L1508" t="s">
        <v>76</v>
      </c>
      <c r="M1508" t="s">
        <v>21</v>
      </c>
    </row>
    <row r="1509" spans="1:13" x14ac:dyDescent="0.35">
      <c r="A1509" t="str">
        <f>"215-5771"</f>
        <v>215-5771</v>
      </c>
      <c r="B1509" t="s">
        <v>5730</v>
      </c>
      <c r="C1509" t="str">
        <f>"4253A"</f>
        <v>4253A</v>
      </c>
      <c r="E1509" t="s">
        <v>2698</v>
      </c>
      <c r="F1509" t="s">
        <v>24</v>
      </c>
      <c r="G1509" t="s">
        <v>5731</v>
      </c>
      <c r="H1509" t="s">
        <v>17</v>
      </c>
      <c r="I1509" t="s">
        <v>18</v>
      </c>
      <c r="J1509" t="str">
        <f>"5149913010"</f>
        <v>5149913010</v>
      </c>
      <c r="K1509" t="s">
        <v>5732</v>
      </c>
      <c r="L1509" t="s">
        <v>869</v>
      </c>
      <c r="M1509" t="s">
        <v>21</v>
      </c>
    </row>
    <row r="1510" spans="1:13" x14ac:dyDescent="0.35">
      <c r="A1510" t="str">
        <f>"215-9085"</f>
        <v>215-9085</v>
      </c>
      <c r="B1510" t="s">
        <v>5733</v>
      </c>
      <c r="C1510" t="str">
        <f>"2546"</f>
        <v>2546</v>
      </c>
      <c r="E1510" t="s">
        <v>4380</v>
      </c>
      <c r="F1510" t="s">
        <v>24</v>
      </c>
      <c r="G1510" t="s">
        <v>5734</v>
      </c>
      <c r="H1510" t="s">
        <v>17</v>
      </c>
      <c r="I1510" t="s">
        <v>18</v>
      </c>
      <c r="J1510" t="str">
        <f>"5147092092"</f>
        <v>5147092092</v>
      </c>
      <c r="K1510" t="s">
        <v>5735</v>
      </c>
      <c r="L1510" t="s">
        <v>86</v>
      </c>
      <c r="M1510" t="s">
        <v>21</v>
      </c>
    </row>
    <row r="1511" spans="1:13" x14ac:dyDescent="0.35">
      <c r="A1511" t="str">
        <f>"225-6880"</f>
        <v>225-6880</v>
      </c>
      <c r="B1511" t="s">
        <v>5736</v>
      </c>
      <c r="C1511" t="str">
        <f>"880"</f>
        <v>880</v>
      </c>
      <c r="E1511" t="s">
        <v>5737</v>
      </c>
      <c r="F1511" t="s">
        <v>143</v>
      </c>
      <c r="G1511" t="s">
        <v>5738</v>
      </c>
      <c r="H1511" t="s">
        <v>17</v>
      </c>
      <c r="I1511" t="s">
        <v>18</v>
      </c>
      <c r="J1511" t="str">
        <f>"5143277162"</f>
        <v>5143277162</v>
      </c>
      <c r="K1511" t="s">
        <v>5739</v>
      </c>
      <c r="L1511" t="s">
        <v>27</v>
      </c>
      <c r="M1511" t="s">
        <v>21</v>
      </c>
    </row>
    <row r="1512" spans="1:13" x14ac:dyDescent="0.35">
      <c r="A1512" t="str">
        <f>"226-5490"</f>
        <v>226-5490</v>
      </c>
      <c r="B1512" t="s">
        <v>5740</v>
      </c>
      <c r="C1512" t="str">
        <f>"6957"</f>
        <v>6957</v>
      </c>
      <c r="E1512" t="s">
        <v>3232</v>
      </c>
      <c r="F1512" t="s">
        <v>24</v>
      </c>
      <c r="G1512" t="s">
        <v>5584</v>
      </c>
      <c r="H1512" t="s">
        <v>17</v>
      </c>
      <c r="I1512" t="s">
        <v>18</v>
      </c>
      <c r="J1512" t="str">
        <f>"4384593045"</f>
        <v>4384593045</v>
      </c>
      <c r="K1512" t="s">
        <v>5741</v>
      </c>
      <c r="L1512" t="s">
        <v>86</v>
      </c>
      <c r="M1512" t="s">
        <v>21</v>
      </c>
    </row>
    <row r="1513" spans="1:13" x14ac:dyDescent="0.35">
      <c r="A1513" t="str">
        <f>"624-9258"</f>
        <v>624-9258</v>
      </c>
      <c r="B1513" t="s">
        <v>5742</v>
      </c>
      <c r="C1513" t="str">
        <f>"3252"</f>
        <v>3252</v>
      </c>
      <c r="E1513" t="s">
        <v>5743</v>
      </c>
      <c r="F1513" t="s">
        <v>24</v>
      </c>
      <c r="G1513" t="s">
        <v>5744</v>
      </c>
      <c r="H1513" t="s">
        <v>17</v>
      </c>
      <c r="I1513" t="s">
        <v>18</v>
      </c>
      <c r="J1513" t="str">
        <f>"4385313179"</f>
        <v>4385313179</v>
      </c>
      <c r="K1513" t="s">
        <v>5745</v>
      </c>
      <c r="L1513" t="s">
        <v>137</v>
      </c>
      <c r="M1513" t="s">
        <v>21</v>
      </c>
    </row>
    <row r="1514" spans="1:13" x14ac:dyDescent="0.35">
      <c r="A1514" t="str">
        <f>"627-3298"</f>
        <v>627-3298</v>
      </c>
      <c r="B1514" t="s">
        <v>5746</v>
      </c>
      <c r="C1514" t="str">
        <f>"46"</f>
        <v>46</v>
      </c>
      <c r="E1514" t="s">
        <v>5747</v>
      </c>
      <c r="F1514" t="s">
        <v>2174</v>
      </c>
      <c r="G1514" t="s">
        <v>5748</v>
      </c>
      <c r="H1514" t="s">
        <v>17</v>
      </c>
      <c r="I1514" t="s">
        <v>18</v>
      </c>
      <c r="J1514" t="str">
        <f>"8736600150"</f>
        <v>8736600150</v>
      </c>
      <c r="K1514" t="s">
        <v>5749</v>
      </c>
      <c r="L1514" t="s">
        <v>20</v>
      </c>
      <c r="M1514" t="s">
        <v>21</v>
      </c>
    </row>
    <row r="1515" spans="1:13" x14ac:dyDescent="0.35">
      <c r="A1515" t="str">
        <f>"627-3717"</f>
        <v>627-3717</v>
      </c>
      <c r="B1515" t="s">
        <v>5750</v>
      </c>
      <c r="C1515" t="str">
        <f>"1362"</f>
        <v>1362</v>
      </c>
      <c r="E1515" t="s">
        <v>5219</v>
      </c>
      <c r="F1515" t="s">
        <v>24</v>
      </c>
      <c r="G1515" t="s">
        <v>5751</v>
      </c>
      <c r="H1515" t="s">
        <v>17</v>
      </c>
      <c r="I1515" t="s">
        <v>18</v>
      </c>
      <c r="J1515" t="str">
        <f>"4382215604"</f>
        <v>4382215604</v>
      </c>
      <c r="K1515" t="s">
        <v>5752</v>
      </c>
      <c r="L1515" t="s">
        <v>168</v>
      </c>
      <c r="M1515" t="s">
        <v>21</v>
      </c>
    </row>
    <row r="1516" spans="1:13" x14ac:dyDescent="0.35">
      <c r="A1516" t="str">
        <f>"627-7835"</f>
        <v>627-7835</v>
      </c>
      <c r="B1516" t="s">
        <v>5753</v>
      </c>
      <c r="C1516" t="str">
        <f>"7425"</f>
        <v>7425</v>
      </c>
      <c r="E1516" t="s">
        <v>5754</v>
      </c>
      <c r="F1516" t="s">
        <v>24</v>
      </c>
      <c r="G1516" t="s">
        <v>5755</v>
      </c>
      <c r="H1516" t="s">
        <v>17</v>
      </c>
      <c r="I1516" t="s">
        <v>18</v>
      </c>
      <c r="J1516" t="str">
        <f>"4389927817"</f>
        <v>4389927817</v>
      </c>
      <c r="K1516" t="s">
        <v>5756</v>
      </c>
      <c r="L1516" t="s">
        <v>86</v>
      </c>
      <c r="M1516" t="s">
        <v>21</v>
      </c>
    </row>
    <row r="1517" spans="1:13" x14ac:dyDescent="0.35">
      <c r="A1517" t="str">
        <f>"627-7837"</f>
        <v>627-7837</v>
      </c>
      <c r="B1517" t="s">
        <v>5757</v>
      </c>
      <c r="C1517" t="str">
        <f>"4257"</f>
        <v>4257</v>
      </c>
      <c r="E1517" t="s">
        <v>5758</v>
      </c>
      <c r="F1517" t="s">
        <v>24</v>
      </c>
      <c r="G1517" t="s">
        <v>5759</v>
      </c>
      <c r="H1517" t="s">
        <v>17</v>
      </c>
      <c r="I1517" t="s">
        <v>18</v>
      </c>
      <c r="J1517" t="str">
        <f>"5143761620"</f>
        <v>5143761620</v>
      </c>
      <c r="K1517" t="s">
        <v>5760</v>
      </c>
      <c r="L1517" t="s">
        <v>86</v>
      </c>
      <c r="M1517" t="s">
        <v>21</v>
      </c>
    </row>
    <row r="1518" spans="1:13" x14ac:dyDescent="0.35">
      <c r="A1518" t="str">
        <f>"976-9099"</f>
        <v>976-9099</v>
      </c>
      <c r="B1518" t="s">
        <v>5761</v>
      </c>
      <c r="C1518" t="str">
        <f>"2269"</f>
        <v>2269</v>
      </c>
      <c r="D1518" t="str">
        <f>"1"</f>
        <v>1</v>
      </c>
      <c r="E1518" t="s">
        <v>3207</v>
      </c>
      <c r="F1518" t="s">
        <v>24</v>
      </c>
      <c r="G1518" t="s">
        <v>5762</v>
      </c>
      <c r="H1518" t="s">
        <v>17</v>
      </c>
      <c r="I1518" t="s">
        <v>18</v>
      </c>
      <c r="J1518" t="str">
        <f>"5148343036"</f>
        <v>5148343036</v>
      </c>
      <c r="K1518" t="s">
        <v>5763</v>
      </c>
      <c r="L1518" t="s">
        <v>132</v>
      </c>
      <c r="M1518" t="s">
        <v>21</v>
      </c>
    </row>
    <row r="1519" spans="1:13" x14ac:dyDescent="0.35">
      <c r="A1519" t="str">
        <f>"625-4932"</f>
        <v>625-4932</v>
      </c>
      <c r="B1519" t="s">
        <v>5764</v>
      </c>
      <c r="C1519" t="str">
        <f>"2530"</f>
        <v>2530</v>
      </c>
      <c r="D1519" t="str">
        <f>"14"</f>
        <v>14</v>
      </c>
      <c r="E1519" t="s">
        <v>834</v>
      </c>
      <c r="F1519" t="s">
        <v>40</v>
      </c>
      <c r="G1519" t="s">
        <v>5765</v>
      </c>
      <c r="H1519" t="s">
        <v>17</v>
      </c>
      <c r="I1519" t="s">
        <v>18</v>
      </c>
      <c r="J1519" t="str">
        <f>"4388836064"</f>
        <v>4388836064</v>
      </c>
      <c r="K1519" t="s">
        <v>5766</v>
      </c>
      <c r="L1519" t="s">
        <v>86</v>
      </c>
      <c r="M1519" t="s">
        <v>21</v>
      </c>
    </row>
    <row r="1520" spans="1:13" x14ac:dyDescent="0.35">
      <c r="A1520" t="str">
        <f>"148-3641"</f>
        <v>148-3641</v>
      </c>
      <c r="B1520" t="s">
        <v>5767</v>
      </c>
      <c r="C1520" t="str">
        <f>"7977"</f>
        <v>7977</v>
      </c>
      <c r="E1520" t="s">
        <v>5768</v>
      </c>
      <c r="F1520" t="s">
        <v>24</v>
      </c>
      <c r="G1520" t="s">
        <v>5769</v>
      </c>
      <c r="H1520" t="s">
        <v>17</v>
      </c>
      <c r="I1520" t="s">
        <v>18</v>
      </c>
      <c r="J1520" t="str">
        <f>"4388358312"</f>
        <v>4388358312</v>
      </c>
      <c r="K1520" t="s">
        <v>5770</v>
      </c>
      <c r="L1520" t="s">
        <v>86</v>
      </c>
      <c r="M1520" t="s">
        <v>21</v>
      </c>
    </row>
    <row r="1521" spans="1:13" x14ac:dyDescent="0.35">
      <c r="A1521" t="str">
        <f>"169-2406"</f>
        <v>169-2406</v>
      </c>
      <c r="B1521" t="s">
        <v>5771</v>
      </c>
      <c r="C1521" t="str">
        <f>"5126"</f>
        <v>5126</v>
      </c>
      <c r="E1521" t="s">
        <v>5772</v>
      </c>
      <c r="F1521" t="s">
        <v>54</v>
      </c>
      <c r="G1521" t="s">
        <v>5773</v>
      </c>
      <c r="H1521" t="s">
        <v>17</v>
      </c>
      <c r="I1521" t="s">
        <v>18</v>
      </c>
      <c r="J1521" t="str">
        <f>"5146530798"</f>
        <v>5146530798</v>
      </c>
      <c r="K1521" t="s">
        <v>5774</v>
      </c>
      <c r="L1521" t="s">
        <v>86</v>
      </c>
      <c r="M1521" t="s">
        <v>21</v>
      </c>
    </row>
    <row r="1522" spans="1:13" x14ac:dyDescent="0.35">
      <c r="A1522" t="str">
        <f>"627-7406"</f>
        <v>627-7406</v>
      </c>
      <c r="B1522" t="s">
        <v>5775</v>
      </c>
      <c r="C1522" t="str">
        <f>"3469"</f>
        <v>3469</v>
      </c>
      <c r="D1522" t="str">
        <f>"249"</f>
        <v>249</v>
      </c>
      <c r="E1522" t="s">
        <v>455</v>
      </c>
      <c r="F1522" t="s">
        <v>24</v>
      </c>
      <c r="G1522" t="s">
        <v>1097</v>
      </c>
      <c r="H1522" t="s">
        <v>17</v>
      </c>
      <c r="I1522" t="s">
        <v>18</v>
      </c>
      <c r="J1522" t="str">
        <f>"4382208352"</f>
        <v>4382208352</v>
      </c>
      <c r="K1522" t="s">
        <v>5776</v>
      </c>
      <c r="L1522" t="s">
        <v>874</v>
      </c>
      <c r="M1522" t="s">
        <v>21</v>
      </c>
    </row>
    <row r="1523" spans="1:13" x14ac:dyDescent="0.35">
      <c r="A1523" t="str">
        <f>"205-1746"</f>
        <v>205-1746</v>
      </c>
      <c r="B1523" t="s">
        <v>5777</v>
      </c>
      <c r="C1523" t="str">
        <f>"3953"</f>
        <v>3953</v>
      </c>
      <c r="E1523" t="s">
        <v>5778</v>
      </c>
      <c r="F1523" t="s">
        <v>54</v>
      </c>
      <c r="G1523" t="s">
        <v>5779</v>
      </c>
      <c r="H1523" t="s">
        <v>17</v>
      </c>
      <c r="I1523" t="s">
        <v>18</v>
      </c>
      <c r="J1523" t="str">
        <f>"5147708554"</f>
        <v>5147708554</v>
      </c>
      <c r="K1523" t="s">
        <v>5780</v>
      </c>
      <c r="L1523" t="s">
        <v>137</v>
      </c>
      <c r="M1523" t="s">
        <v>21</v>
      </c>
    </row>
    <row r="1524" spans="1:13" x14ac:dyDescent="0.35">
      <c r="A1524" t="str">
        <f>"205-4716"</f>
        <v>205-4716</v>
      </c>
      <c r="B1524" t="s">
        <v>5781</v>
      </c>
      <c r="C1524" t="str">
        <f>"9079"</f>
        <v>9079</v>
      </c>
      <c r="E1524" t="s">
        <v>1905</v>
      </c>
      <c r="F1524" t="s">
        <v>24</v>
      </c>
      <c r="G1524" t="s">
        <v>1906</v>
      </c>
      <c r="H1524" t="s">
        <v>17</v>
      </c>
      <c r="I1524" t="s">
        <v>18</v>
      </c>
      <c r="J1524" t="str">
        <f>"5147707742"</f>
        <v>5147707742</v>
      </c>
      <c r="K1524" t="s">
        <v>5782</v>
      </c>
      <c r="L1524" t="s">
        <v>1878</v>
      </c>
      <c r="M1524" t="s">
        <v>21</v>
      </c>
    </row>
    <row r="1525" spans="1:13" x14ac:dyDescent="0.35">
      <c r="A1525" t="str">
        <f>"215-5732"</f>
        <v>215-5732</v>
      </c>
      <c r="B1525" t="s">
        <v>5783</v>
      </c>
      <c r="C1525" t="str">
        <f>"221"</f>
        <v>221</v>
      </c>
      <c r="E1525" t="s">
        <v>5784</v>
      </c>
      <c r="F1525" t="s">
        <v>3755</v>
      </c>
      <c r="G1525" t="s">
        <v>5785</v>
      </c>
      <c r="H1525" t="s">
        <v>17</v>
      </c>
      <c r="I1525" t="s">
        <v>18</v>
      </c>
      <c r="J1525" t="str">
        <f>"4383549937"</f>
        <v>4383549937</v>
      </c>
      <c r="K1525" t="s">
        <v>5786</v>
      </c>
      <c r="L1525" t="s">
        <v>869</v>
      </c>
      <c r="M1525" t="s">
        <v>21</v>
      </c>
    </row>
    <row r="1526" spans="1:13" x14ac:dyDescent="0.35">
      <c r="A1526" t="str">
        <f>"224-2710"</f>
        <v>224-2710</v>
      </c>
      <c r="B1526" t="s">
        <v>5787</v>
      </c>
      <c r="C1526" t="str">
        <f>"4670"</f>
        <v>4670</v>
      </c>
      <c r="E1526" t="s">
        <v>830</v>
      </c>
      <c r="F1526" t="s">
        <v>24</v>
      </c>
      <c r="G1526" t="s">
        <v>5788</v>
      </c>
      <c r="H1526" t="s">
        <v>17</v>
      </c>
      <c r="I1526" t="s">
        <v>18</v>
      </c>
      <c r="J1526" t="str">
        <f>"4384984582"</f>
        <v>4384984582</v>
      </c>
      <c r="K1526" t="s">
        <v>5789</v>
      </c>
      <c r="L1526" t="s">
        <v>284</v>
      </c>
      <c r="M1526" t="s">
        <v>21</v>
      </c>
    </row>
    <row r="1527" spans="1:13" x14ac:dyDescent="0.35">
      <c r="A1527" t="str">
        <f>"194-8847"</f>
        <v>194-8847</v>
      </c>
      <c r="B1527" t="s">
        <v>5790</v>
      </c>
      <c r="C1527" t="str">
        <f>"1357"</f>
        <v>1357</v>
      </c>
      <c r="E1527" t="s">
        <v>920</v>
      </c>
      <c r="F1527" t="s">
        <v>32</v>
      </c>
      <c r="G1527" t="s">
        <v>921</v>
      </c>
      <c r="H1527" t="s">
        <v>17</v>
      </c>
      <c r="I1527" t="s">
        <v>18</v>
      </c>
      <c r="J1527" t="str">
        <f>"5146642157"</f>
        <v>5146642157</v>
      </c>
      <c r="K1527" t="s">
        <v>5791</v>
      </c>
      <c r="L1527" t="s">
        <v>137</v>
      </c>
      <c r="M1527" t="s">
        <v>21</v>
      </c>
    </row>
    <row r="1528" spans="1:13" x14ac:dyDescent="0.35">
      <c r="A1528" t="str">
        <f>"227-9377"</f>
        <v>227-9377</v>
      </c>
      <c r="B1528" t="s">
        <v>5793</v>
      </c>
      <c r="C1528" t="str">
        <f>"1400"</f>
        <v>1400</v>
      </c>
      <c r="D1528" t="str">
        <f>"408"</f>
        <v>408</v>
      </c>
      <c r="E1528" t="s">
        <v>5794</v>
      </c>
      <c r="F1528" t="s">
        <v>54</v>
      </c>
      <c r="G1528" t="s">
        <v>5795</v>
      </c>
      <c r="H1528" t="s">
        <v>17</v>
      </c>
      <c r="I1528" t="s">
        <v>18</v>
      </c>
      <c r="J1528" t="str">
        <f>"4384624920"</f>
        <v>4384624920</v>
      </c>
      <c r="K1528" t="s">
        <v>5796</v>
      </c>
      <c r="L1528" t="s">
        <v>396</v>
      </c>
      <c r="M1528" t="s">
        <v>21</v>
      </c>
    </row>
    <row r="1529" spans="1:13" x14ac:dyDescent="0.35">
      <c r="A1529" t="str">
        <f>"228-2747"</f>
        <v>228-2747</v>
      </c>
      <c r="B1529" t="s">
        <v>5797</v>
      </c>
      <c r="C1529" t="str">
        <f>"8489"</f>
        <v>8489</v>
      </c>
      <c r="E1529" t="s">
        <v>5798</v>
      </c>
      <c r="F1529" t="s">
        <v>24</v>
      </c>
      <c r="G1529" t="s">
        <v>5799</v>
      </c>
      <c r="H1529" t="s">
        <v>17</v>
      </c>
      <c r="I1529" t="s">
        <v>18</v>
      </c>
      <c r="J1529" t="str">
        <f>"4384835522"</f>
        <v>4384835522</v>
      </c>
      <c r="K1529" t="s">
        <v>5800</v>
      </c>
      <c r="L1529" t="s">
        <v>137</v>
      </c>
      <c r="M1529" t="s">
        <v>21</v>
      </c>
    </row>
    <row r="1530" spans="1:13" x14ac:dyDescent="0.35">
      <c r="A1530" t="str">
        <f>"624-6177"</f>
        <v>624-6177</v>
      </c>
      <c r="B1530" t="s">
        <v>5801</v>
      </c>
      <c r="C1530" t="str">
        <f>"7625"</f>
        <v>7625</v>
      </c>
      <c r="E1530" t="s">
        <v>3523</v>
      </c>
      <c r="F1530" t="s">
        <v>24</v>
      </c>
      <c r="G1530" t="s">
        <v>5541</v>
      </c>
      <c r="H1530" t="s">
        <v>17</v>
      </c>
      <c r="I1530" t="s">
        <v>18</v>
      </c>
      <c r="J1530" t="str">
        <f>"5142499374"</f>
        <v>5142499374</v>
      </c>
      <c r="K1530" t="s">
        <v>5802</v>
      </c>
      <c r="L1530" t="s">
        <v>86</v>
      </c>
      <c r="M1530" t="s">
        <v>21</v>
      </c>
    </row>
    <row r="1531" spans="1:13" x14ac:dyDescent="0.35">
      <c r="A1531" t="str">
        <f>"625-2508"</f>
        <v>625-2508</v>
      </c>
      <c r="B1531" t="s">
        <v>5803</v>
      </c>
      <c r="C1531" t="str">
        <f>"8355"</f>
        <v>8355</v>
      </c>
      <c r="D1531" t="str">
        <f>"616"</f>
        <v>616</v>
      </c>
      <c r="E1531" t="s">
        <v>5804</v>
      </c>
      <c r="F1531" t="s">
        <v>24</v>
      </c>
      <c r="G1531" t="s">
        <v>5805</v>
      </c>
      <c r="H1531" t="s">
        <v>17</v>
      </c>
      <c r="I1531" t="s">
        <v>18</v>
      </c>
      <c r="J1531" t="str">
        <f>"4388735707"</f>
        <v>4388735707</v>
      </c>
      <c r="K1531" t="s">
        <v>5806</v>
      </c>
      <c r="L1531" t="s">
        <v>168</v>
      </c>
      <c r="M1531" t="s">
        <v>21</v>
      </c>
    </row>
    <row r="1532" spans="1:13" x14ac:dyDescent="0.35">
      <c r="A1532" t="str">
        <f>"619-4206"</f>
        <v>619-4206</v>
      </c>
      <c r="B1532" t="s">
        <v>5807</v>
      </c>
      <c r="C1532" t="str">
        <f>"2178"</f>
        <v>2178</v>
      </c>
      <c r="E1532" t="s">
        <v>1854</v>
      </c>
      <c r="F1532" t="s">
        <v>24</v>
      </c>
      <c r="G1532" t="s">
        <v>5808</v>
      </c>
      <c r="H1532" t="s">
        <v>17</v>
      </c>
      <c r="I1532" t="s">
        <v>18</v>
      </c>
      <c r="J1532" t="str">
        <f>"4387786370"</f>
        <v>4387786370</v>
      </c>
      <c r="K1532" t="s">
        <v>5809</v>
      </c>
      <c r="L1532" t="s">
        <v>137</v>
      </c>
      <c r="M1532" t="s">
        <v>21</v>
      </c>
    </row>
    <row r="1533" spans="1:13" x14ac:dyDescent="0.35">
      <c r="A1533" t="str">
        <f>"624-7019"</f>
        <v>624-7019</v>
      </c>
      <c r="B1533" t="s">
        <v>5810</v>
      </c>
      <c r="C1533" t="str">
        <f>"2735"</f>
        <v>2735</v>
      </c>
      <c r="E1533" t="s">
        <v>5811</v>
      </c>
      <c r="F1533" t="s">
        <v>143</v>
      </c>
      <c r="G1533" t="s">
        <v>5812</v>
      </c>
      <c r="H1533" t="s">
        <v>17</v>
      </c>
      <c r="I1533" t="s">
        <v>18</v>
      </c>
      <c r="J1533" t="str">
        <f>"5144448774"</f>
        <v>5144448774</v>
      </c>
      <c r="K1533" t="s">
        <v>5813</v>
      </c>
      <c r="L1533" t="s">
        <v>27</v>
      </c>
      <c r="M1533" t="s">
        <v>21</v>
      </c>
    </row>
    <row r="1534" spans="1:13" x14ac:dyDescent="0.35">
      <c r="A1534" t="str">
        <f>"625-1897"</f>
        <v>625-1897</v>
      </c>
      <c r="B1534" t="s">
        <v>5814</v>
      </c>
      <c r="C1534" t="str">
        <f>"2020"</f>
        <v>2020</v>
      </c>
      <c r="D1534" t="str">
        <f>"2"</f>
        <v>2</v>
      </c>
      <c r="E1534" t="s">
        <v>5815</v>
      </c>
      <c r="F1534" t="s">
        <v>24</v>
      </c>
      <c r="G1534" t="s">
        <v>5816</v>
      </c>
      <c r="H1534" t="s">
        <v>17</v>
      </c>
      <c r="I1534" t="s">
        <v>18</v>
      </c>
      <c r="J1534" t="str">
        <f>"5146642134"</f>
        <v>5146642134</v>
      </c>
      <c r="K1534" t="s">
        <v>5817</v>
      </c>
      <c r="L1534" t="s">
        <v>396</v>
      </c>
      <c r="M1534" t="s">
        <v>21</v>
      </c>
    </row>
    <row r="1535" spans="1:13" x14ac:dyDescent="0.35">
      <c r="A1535" t="str">
        <f>"218-3073"</f>
        <v>218-3073</v>
      </c>
      <c r="B1535" t="s">
        <v>5818</v>
      </c>
      <c r="C1535" t="str">
        <f>"8335"</f>
        <v>8335</v>
      </c>
      <c r="D1535" t="str">
        <f>"5"</f>
        <v>5</v>
      </c>
      <c r="E1535" t="s">
        <v>5819</v>
      </c>
      <c r="F1535" t="s">
        <v>46</v>
      </c>
      <c r="G1535" t="s">
        <v>5820</v>
      </c>
      <c r="H1535" t="s">
        <v>17</v>
      </c>
      <c r="I1535" t="s">
        <v>18</v>
      </c>
      <c r="J1535" t="str">
        <f>"8194447831"</f>
        <v>8194447831</v>
      </c>
      <c r="K1535" t="s">
        <v>5821</v>
      </c>
      <c r="L1535" t="s">
        <v>86</v>
      </c>
      <c r="M1535" t="s">
        <v>21</v>
      </c>
    </row>
    <row r="1536" spans="1:13" x14ac:dyDescent="0.35">
      <c r="A1536" t="str">
        <f>"623-4814"</f>
        <v>623-4814</v>
      </c>
      <c r="B1536" t="s">
        <v>5822</v>
      </c>
      <c r="C1536" t="str">
        <f>"3593"</f>
        <v>3593</v>
      </c>
      <c r="D1536" t="str">
        <f>"23"</f>
        <v>23</v>
      </c>
      <c r="E1536" t="s">
        <v>4946</v>
      </c>
      <c r="F1536" t="s">
        <v>24</v>
      </c>
      <c r="G1536" t="s">
        <v>5823</v>
      </c>
      <c r="H1536" t="s">
        <v>17</v>
      </c>
      <c r="I1536" t="s">
        <v>18</v>
      </c>
      <c r="J1536" t="str">
        <f>"4383716095"</f>
        <v>4383716095</v>
      </c>
      <c r="K1536" t="s">
        <v>5824</v>
      </c>
      <c r="L1536" t="s">
        <v>396</v>
      </c>
      <c r="M1536" t="s">
        <v>21</v>
      </c>
    </row>
    <row r="1537" spans="1:13" x14ac:dyDescent="0.35">
      <c r="A1537" t="str">
        <f>"627-1078"</f>
        <v>627-1078</v>
      </c>
      <c r="B1537" t="s">
        <v>5825</v>
      </c>
      <c r="C1537" t="str">
        <f>"8358"</f>
        <v>8358</v>
      </c>
      <c r="E1537" t="s">
        <v>1063</v>
      </c>
      <c r="F1537" t="s">
        <v>40</v>
      </c>
      <c r="G1537" t="s">
        <v>1087</v>
      </c>
      <c r="H1537" t="s">
        <v>17</v>
      </c>
      <c r="I1537" t="s">
        <v>18</v>
      </c>
      <c r="J1537" t="str">
        <f>"4389377179"</f>
        <v>4389377179</v>
      </c>
      <c r="K1537" t="s">
        <v>5826</v>
      </c>
      <c r="L1537" t="s">
        <v>86</v>
      </c>
      <c r="M1537" t="s">
        <v>21</v>
      </c>
    </row>
    <row r="1538" spans="1:13" x14ac:dyDescent="0.35">
      <c r="A1538" t="str">
        <f>"626-2572"</f>
        <v>626-2572</v>
      </c>
      <c r="B1538" t="s">
        <v>5827</v>
      </c>
      <c r="I1538" t="s">
        <v>3666</v>
      </c>
      <c r="J1538" t="str">
        <f>"5145762730"</f>
        <v>5145762730</v>
      </c>
      <c r="K1538" t="s">
        <v>5828</v>
      </c>
      <c r="L1538" t="s">
        <v>305</v>
      </c>
      <c r="M1538" t="s">
        <v>21</v>
      </c>
    </row>
    <row r="1539" spans="1:13" x14ac:dyDescent="0.35">
      <c r="A1539" t="str">
        <f>"215-7548"</f>
        <v>215-7548</v>
      </c>
      <c r="B1539" t="s">
        <v>5829</v>
      </c>
      <c r="C1539" t="str">
        <f>"13055"</f>
        <v>13055</v>
      </c>
      <c r="E1539" t="s">
        <v>4258</v>
      </c>
      <c r="F1539" t="s">
        <v>24</v>
      </c>
      <c r="G1539" t="s">
        <v>5830</v>
      </c>
      <c r="H1539" t="s">
        <v>17</v>
      </c>
      <c r="I1539" t="s">
        <v>18</v>
      </c>
      <c r="J1539" t="str">
        <f>"4384973216"</f>
        <v>4384973216</v>
      </c>
      <c r="K1539" t="s">
        <v>5831</v>
      </c>
      <c r="L1539" t="s">
        <v>2316</v>
      </c>
      <c r="M1539" t="s">
        <v>21</v>
      </c>
    </row>
    <row r="1540" spans="1:13" x14ac:dyDescent="0.35">
      <c r="A1540" t="str">
        <f>"240-3334"</f>
        <v>240-3334</v>
      </c>
      <c r="B1540" t="s">
        <v>5832</v>
      </c>
      <c r="C1540" t="str">
        <f>"7063"</f>
        <v>7063</v>
      </c>
      <c r="E1540" t="s">
        <v>5833</v>
      </c>
      <c r="F1540" t="s">
        <v>24</v>
      </c>
      <c r="G1540" t="s">
        <v>5834</v>
      </c>
      <c r="H1540" t="s">
        <v>17</v>
      </c>
      <c r="I1540" t="s">
        <v>18</v>
      </c>
      <c r="J1540" t="str">
        <f>"5142267655"</f>
        <v>5142267655</v>
      </c>
      <c r="K1540" t="s">
        <v>5835</v>
      </c>
      <c r="L1540" t="s">
        <v>869</v>
      </c>
      <c r="M1540" t="s">
        <v>21</v>
      </c>
    </row>
    <row r="1541" spans="1:13" x14ac:dyDescent="0.35">
      <c r="A1541" t="str">
        <f>"217-6262"</f>
        <v>217-6262</v>
      </c>
      <c r="B1541" t="s">
        <v>5836</v>
      </c>
      <c r="C1541" t="str">
        <f>"2475"</f>
        <v>2475</v>
      </c>
      <c r="E1541" t="s">
        <v>5837</v>
      </c>
      <c r="F1541" t="s">
        <v>24</v>
      </c>
      <c r="G1541" t="s">
        <v>5838</v>
      </c>
      <c r="H1541" t="s">
        <v>17</v>
      </c>
      <c r="I1541" t="s">
        <v>18</v>
      </c>
      <c r="J1541" t="str">
        <f>"5148368417"</f>
        <v>5148368417</v>
      </c>
      <c r="K1541" t="s">
        <v>5839</v>
      </c>
      <c r="L1541" t="s">
        <v>1509</v>
      </c>
      <c r="M1541" t="s">
        <v>21</v>
      </c>
    </row>
    <row r="1542" spans="1:13" x14ac:dyDescent="0.35">
      <c r="A1542" t="str">
        <f>"240-9563"</f>
        <v>240-9563</v>
      </c>
      <c r="B1542" t="s">
        <v>5840</v>
      </c>
      <c r="C1542" t="str">
        <f>"143"</f>
        <v>143</v>
      </c>
      <c r="D1542" t="str">
        <f>"B"</f>
        <v>B</v>
      </c>
      <c r="E1542" t="s">
        <v>5841</v>
      </c>
      <c r="F1542" t="s">
        <v>5842</v>
      </c>
      <c r="G1542" t="s">
        <v>5843</v>
      </c>
      <c r="H1542" t="s">
        <v>17</v>
      </c>
      <c r="I1542" t="s">
        <v>18</v>
      </c>
      <c r="J1542" t="str">
        <f>"2638820004"</f>
        <v>2638820004</v>
      </c>
      <c r="K1542" t="s">
        <v>5844</v>
      </c>
      <c r="L1542" t="s">
        <v>466</v>
      </c>
      <c r="M1542" t="s">
        <v>21</v>
      </c>
    </row>
    <row r="1543" spans="1:13" x14ac:dyDescent="0.35">
      <c r="A1543" t="str">
        <f>"127-9704"</f>
        <v>127-9704</v>
      </c>
      <c r="B1543" t="s">
        <v>5845</v>
      </c>
      <c r="C1543" t="str">
        <f>"8610"</f>
        <v>8610</v>
      </c>
      <c r="E1543" t="s">
        <v>978</v>
      </c>
      <c r="F1543" t="s">
        <v>24</v>
      </c>
      <c r="G1543" t="s">
        <v>5846</v>
      </c>
      <c r="H1543" t="s">
        <v>17</v>
      </c>
      <c r="I1543" t="s">
        <v>18</v>
      </c>
      <c r="J1543" t="str">
        <f>"5148353944"</f>
        <v>5148353944</v>
      </c>
      <c r="K1543" t="s">
        <v>5847</v>
      </c>
      <c r="L1543" t="s">
        <v>4004</v>
      </c>
      <c r="M1543" t="s">
        <v>21</v>
      </c>
    </row>
    <row r="1544" spans="1:13" x14ac:dyDescent="0.35">
      <c r="A1544" t="str">
        <f>"239-9092"</f>
        <v>239-9092</v>
      </c>
      <c r="B1544" t="s">
        <v>5848</v>
      </c>
      <c r="C1544" t="str">
        <f>"3494"</f>
        <v>3494</v>
      </c>
      <c r="E1544" t="s">
        <v>125</v>
      </c>
      <c r="F1544" t="s">
        <v>24</v>
      </c>
      <c r="G1544" t="s">
        <v>5849</v>
      </c>
      <c r="H1544" t="s">
        <v>17</v>
      </c>
      <c r="I1544" t="s">
        <v>18</v>
      </c>
      <c r="J1544" t="str">
        <f>"4387737759"</f>
        <v>4387737759</v>
      </c>
      <c r="K1544" t="s">
        <v>5850</v>
      </c>
      <c r="L1544" t="s">
        <v>2217</v>
      </c>
      <c r="M1544" t="s">
        <v>21</v>
      </c>
    </row>
    <row r="1545" spans="1:13" x14ac:dyDescent="0.35">
      <c r="A1545" t="str">
        <f>"239-9094"</f>
        <v>239-9094</v>
      </c>
      <c r="B1545" t="s">
        <v>5852</v>
      </c>
      <c r="C1545" t="str">
        <f>"3781"</f>
        <v>3781</v>
      </c>
      <c r="D1545" t="str">
        <f>"7"</f>
        <v>7</v>
      </c>
      <c r="E1545" t="s">
        <v>125</v>
      </c>
      <c r="F1545" t="s">
        <v>24</v>
      </c>
      <c r="G1545" t="s">
        <v>5853</v>
      </c>
      <c r="H1545" t="s">
        <v>17</v>
      </c>
      <c r="I1545" t="s">
        <v>18</v>
      </c>
      <c r="J1545" t="str">
        <f>"5145708933"</f>
        <v>5145708933</v>
      </c>
      <c r="K1545" t="s">
        <v>5854</v>
      </c>
      <c r="L1545" t="s">
        <v>2217</v>
      </c>
      <c r="M1545" t="s">
        <v>21</v>
      </c>
    </row>
    <row r="1546" spans="1:13" x14ac:dyDescent="0.35">
      <c r="A1546" t="str">
        <f>"239-9096"</f>
        <v>239-9096</v>
      </c>
      <c r="B1546" t="s">
        <v>5855</v>
      </c>
      <c r="C1546" t="str">
        <f>"6185"</f>
        <v>6185</v>
      </c>
      <c r="D1546" t="str">
        <f>"16"</f>
        <v>16</v>
      </c>
      <c r="E1546" t="s">
        <v>802</v>
      </c>
      <c r="F1546" t="s">
        <v>24</v>
      </c>
      <c r="G1546" t="s">
        <v>960</v>
      </c>
      <c r="H1546" t="s">
        <v>17</v>
      </c>
      <c r="I1546" t="s">
        <v>18</v>
      </c>
      <c r="J1546" t="str">
        <f>"5145768253"</f>
        <v>5145768253</v>
      </c>
      <c r="K1546" t="s">
        <v>5856</v>
      </c>
      <c r="L1546" t="s">
        <v>2217</v>
      </c>
      <c r="M1546" t="s">
        <v>21</v>
      </c>
    </row>
    <row r="1547" spans="1:13" x14ac:dyDescent="0.35">
      <c r="A1547" t="str">
        <f>"239-9098"</f>
        <v>239-9098</v>
      </c>
      <c r="B1547" t="s">
        <v>5857</v>
      </c>
      <c r="C1547" t="str">
        <f>"3494"</f>
        <v>3494</v>
      </c>
      <c r="E1547" t="s">
        <v>125</v>
      </c>
      <c r="F1547" t="s">
        <v>24</v>
      </c>
      <c r="G1547" t="s">
        <v>5849</v>
      </c>
      <c r="H1547" t="s">
        <v>17</v>
      </c>
      <c r="I1547" t="s">
        <v>18</v>
      </c>
      <c r="J1547" t="str">
        <f>"4387785357"</f>
        <v>4387785357</v>
      </c>
      <c r="K1547" t="s">
        <v>5858</v>
      </c>
      <c r="L1547" t="s">
        <v>2217</v>
      </c>
      <c r="M1547" t="s">
        <v>21</v>
      </c>
    </row>
    <row r="1548" spans="1:13" x14ac:dyDescent="0.35">
      <c r="A1548" t="str">
        <f>"239-9100"</f>
        <v>239-9100</v>
      </c>
      <c r="B1548" t="s">
        <v>5859</v>
      </c>
      <c r="C1548" t="str">
        <f>"4379"</f>
        <v>4379</v>
      </c>
      <c r="E1548" t="s">
        <v>125</v>
      </c>
      <c r="F1548" t="s">
        <v>24</v>
      </c>
      <c r="G1548" t="s">
        <v>5851</v>
      </c>
      <c r="H1548" t="s">
        <v>17</v>
      </c>
      <c r="I1548" t="s">
        <v>18</v>
      </c>
      <c r="J1548" t="str">
        <f>"5148827093"</f>
        <v>5148827093</v>
      </c>
      <c r="K1548" t="s">
        <v>5860</v>
      </c>
      <c r="L1548" t="s">
        <v>2217</v>
      </c>
      <c r="M1548" t="s">
        <v>21</v>
      </c>
    </row>
    <row r="1549" spans="1:13" x14ac:dyDescent="0.35">
      <c r="A1549" t="str">
        <f>"239-9102"</f>
        <v>239-9102</v>
      </c>
      <c r="B1549" t="s">
        <v>5861</v>
      </c>
      <c r="C1549" t="str">
        <f>"6760"</f>
        <v>6760</v>
      </c>
      <c r="E1549" t="s">
        <v>2499</v>
      </c>
      <c r="F1549" t="s">
        <v>24</v>
      </c>
      <c r="G1549" t="s">
        <v>5862</v>
      </c>
      <c r="H1549" t="s">
        <v>17</v>
      </c>
      <c r="I1549" t="s">
        <v>18</v>
      </c>
      <c r="J1549" t="str">
        <f>"5145689744"</f>
        <v>5145689744</v>
      </c>
      <c r="K1549" t="s">
        <v>5863</v>
      </c>
      <c r="L1549" t="s">
        <v>2217</v>
      </c>
      <c r="M1549" t="s">
        <v>21</v>
      </c>
    </row>
    <row r="1550" spans="1:13" x14ac:dyDescent="0.35">
      <c r="A1550" t="str">
        <f>"239-9103"</f>
        <v>239-9103</v>
      </c>
      <c r="B1550" t="s">
        <v>5864</v>
      </c>
      <c r="C1550" t="str">
        <f>"3494"</f>
        <v>3494</v>
      </c>
      <c r="E1550" t="s">
        <v>5865</v>
      </c>
      <c r="F1550" t="s">
        <v>40</v>
      </c>
      <c r="G1550" t="s">
        <v>5849</v>
      </c>
      <c r="H1550" t="s">
        <v>17</v>
      </c>
      <c r="I1550" t="s">
        <v>18</v>
      </c>
      <c r="J1550" t="str">
        <f>"4387783626"</f>
        <v>4387783626</v>
      </c>
      <c r="K1550" t="s">
        <v>5866</v>
      </c>
      <c r="L1550" t="s">
        <v>2217</v>
      </c>
      <c r="M1550" t="s">
        <v>21</v>
      </c>
    </row>
    <row r="1551" spans="1:13" x14ac:dyDescent="0.35">
      <c r="A1551" t="str">
        <f>"239-9104"</f>
        <v>239-9104</v>
      </c>
      <c r="B1551" t="s">
        <v>5867</v>
      </c>
      <c r="C1551" t="str">
        <f>"7171"</f>
        <v>7171</v>
      </c>
      <c r="D1551" t="str">
        <f>"15"</f>
        <v>15</v>
      </c>
      <c r="E1551" t="s">
        <v>4058</v>
      </c>
      <c r="F1551" t="s">
        <v>24</v>
      </c>
      <c r="G1551" t="s">
        <v>5868</v>
      </c>
      <c r="H1551" t="s">
        <v>17</v>
      </c>
      <c r="I1551" t="s">
        <v>18</v>
      </c>
      <c r="J1551" t="str">
        <f>"4387228497"</f>
        <v>4387228497</v>
      </c>
      <c r="K1551" t="s">
        <v>5869</v>
      </c>
      <c r="L1551" t="s">
        <v>2217</v>
      </c>
      <c r="M1551" t="s">
        <v>21</v>
      </c>
    </row>
    <row r="1552" spans="1:13" x14ac:dyDescent="0.35">
      <c r="A1552" t="str">
        <f>"239-9105"</f>
        <v>239-9105</v>
      </c>
      <c r="B1552" t="s">
        <v>5870</v>
      </c>
      <c r="C1552" t="str">
        <f>"160"</f>
        <v>160</v>
      </c>
      <c r="D1552" t="str">
        <f>"14"</f>
        <v>14</v>
      </c>
      <c r="E1552" t="s">
        <v>5871</v>
      </c>
      <c r="F1552" t="s">
        <v>24</v>
      </c>
      <c r="G1552" t="s">
        <v>5872</v>
      </c>
      <c r="H1552" t="s">
        <v>17</v>
      </c>
      <c r="I1552" t="s">
        <v>18</v>
      </c>
      <c r="J1552" t="str">
        <f>"5147144054"</f>
        <v>5147144054</v>
      </c>
      <c r="K1552" t="s">
        <v>5873</v>
      </c>
      <c r="L1552" t="s">
        <v>2217</v>
      </c>
      <c r="M1552" t="s">
        <v>21</v>
      </c>
    </row>
    <row r="1553" spans="1:13" x14ac:dyDescent="0.35">
      <c r="A1553" t="str">
        <f>"239-9108"</f>
        <v>239-9108</v>
      </c>
      <c r="B1553" t="s">
        <v>5874</v>
      </c>
      <c r="C1553" t="str">
        <f>"6760"</f>
        <v>6760</v>
      </c>
      <c r="E1553" t="s">
        <v>2499</v>
      </c>
      <c r="F1553" t="s">
        <v>24</v>
      </c>
      <c r="G1553" t="s">
        <v>5862</v>
      </c>
      <c r="H1553" t="s">
        <v>17</v>
      </c>
      <c r="I1553" t="s">
        <v>18</v>
      </c>
      <c r="J1553" t="str">
        <f>"4384684032"</f>
        <v>4384684032</v>
      </c>
      <c r="K1553" t="s">
        <v>5875</v>
      </c>
      <c r="L1553" t="s">
        <v>2217</v>
      </c>
      <c r="M1553" t="s">
        <v>21</v>
      </c>
    </row>
    <row r="1554" spans="1:13" x14ac:dyDescent="0.35">
      <c r="A1554" t="str">
        <f>"239-9110"</f>
        <v>239-9110</v>
      </c>
      <c r="B1554" t="s">
        <v>5876</v>
      </c>
      <c r="C1554" t="str">
        <f>"4477"</f>
        <v>4477</v>
      </c>
      <c r="D1554" t="str">
        <f>"17"</f>
        <v>17</v>
      </c>
      <c r="E1554" t="s">
        <v>2636</v>
      </c>
      <c r="F1554" t="s">
        <v>24</v>
      </c>
      <c r="G1554" t="s">
        <v>5877</v>
      </c>
      <c r="H1554" t="s">
        <v>17</v>
      </c>
      <c r="I1554" t="s">
        <v>18</v>
      </c>
      <c r="J1554" t="str">
        <f>"5148832482"</f>
        <v>5148832482</v>
      </c>
      <c r="K1554" t="s">
        <v>5878</v>
      </c>
      <c r="L1554" t="s">
        <v>2217</v>
      </c>
      <c r="M1554" t="s">
        <v>21</v>
      </c>
    </row>
    <row r="1555" spans="1:13" x14ac:dyDescent="0.35">
      <c r="A1555" t="str">
        <f>"158-1784"</f>
        <v>158-1784</v>
      </c>
      <c r="B1555" t="s">
        <v>5879</v>
      </c>
      <c r="C1555" t="str">
        <f>"1715"</f>
        <v>1715</v>
      </c>
      <c r="E1555" t="s">
        <v>5880</v>
      </c>
      <c r="F1555" t="s">
        <v>24</v>
      </c>
      <c r="G1555" t="s">
        <v>5881</v>
      </c>
      <c r="H1555" t="s">
        <v>17</v>
      </c>
      <c r="I1555" t="s">
        <v>18</v>
      </c>
      <c r="J1555" t="str">
        <f>"5145508461"</f>
        <v>5145508461</v>
      </c>
      <c r="K1555" t="s">
        <v>5882</v>
      </c>
      <c r="L1555" t="s">
        <v>1509</v>
      </c>
      <c r="M1555" t="s">
        <v>21</v>
      </c>
    </row>
    <row r="1556" spans="1:13" x14ac:dyDescent="0.35">
      <c r="A1556" t="str">
        <f>"626-9830"</f>
        <v>626-9830</v>
      </c>
      <c r="B1556" t="s">
        <v>5883</v>
      </c>
      <c r="C1556" t="str">
        <f>"6055"</f>
        <v>6055</v>
      </c>
      <c r="D1556" t="str">
        <f>"3"</f>
        <v>3</v>
      </c>
      <c r="E1556" t="s">
        <v>5884</v>
      </c>
      <c r="F1556" t="s">
        <v>24</v>
      </c>
      <c r="G1556" t="s">
        <v>5885</v>
      </c>
      <c r="H1556" t="s">
        <v>17</v>
      </c>
      <c r="I1556" t="s">
        <v>18</v>
      </c>
      <c r="J1556" t="str">
        <f>"5145663721"</f>
        <v>5145663721</v>
      </c>
      <c r="K1556" t="s">
        <v>5886</v>
      </c>
      <c r="L1556" t="s">
        <v>1509</v>
      </c>
      <c r="M1556" t="s">
        <v>21</v>
      </c>
    </row>
    <row r="1557" spans="1:13" x14ac:dyDescent="0.35">
      <c r="A1557" t="str">
        <f>"627-9651"</f>
        <v>627-9651</v>
      </c>
      <c r="B1557" t="s">
        <v>5887</v>
      </c>
      <c r="C1557" t="str">
        <f>"5214"</f>
        <v>5214</v>
      </c>
      <c r="E1557" t="s">
        <v>5888</v>
      </c>
      <c r="F1557" t="s">
        <v>54</v>
      </c>
      <c r="G1557" t="s">
        <v>5889</v>
      </c>
      <c r="H1557" t="s">
        <v>17</v>
      </c>
      <c r="I1557" t="s">
        <v>18</v>
      </c>
      <c r="J1557" t="str">
        <f>"5144587944"</f>
        <v>5144587944</v>
      </c>
      <c r="K1557" t="s">
        <v>5890</v>
      </c>
      <c r="L1557" t="s">
        <v>4004</v>
      </c>
      <c r="M1557" t="s">
        <v>21</v>
      </c>
    </row>
    <row r="1558" spans="1:13" x14ac:dyDescent="0.35">
      <c r="A1558" t="str">
        <f>"151-6639"</f>
        <v>151-6639</v>
      </c>
      <c r="B1558" t="s">
        <v>5891</v>
      </c>
      <c r="C1558" t="str">
        <f>"8120"</f>
        <v>8120</v>
      </c>
      <c r="D1558" t="str">
        <f>"3"</f>
        <v>3</v>
      </c>
      <c r="E1558" t="s">
        <v>1549</v>
      </c>
      <c r="F1558" t="s">
        <v>24</v>
      </c>
      <c r="G1558" t="s">
        <v>5892</v>
      </c>
      <c r="H1558" t="s">
        <v>17</v>
      </c>
      <c r="I1558" t="s">
        <v>18</v>
      </c>
      <c r="J1558" t="str">
        <f>"4388284222"</f>
        <v>4388284222</v>
      </c>
      <c r="K1558" t="s">
        <v>5893</v>
      </c>
      <c r="L1558" t="s">
        <v>1509</v>
      </c>
      <c r="M1558" t="s">
        <v>21</v>
      </c>
    </row>
    <row r="1559" spans="1:13" x14ac:dyDescent="0.35">
      <c r="A1559" t="str">
        <f>"199-0736"</f>
        <v>199-0736</v>
      </c>
      <c r="B1559" t="s">
        <v>5894</v>
      </c>
      <c r="C1559" t="str">
        <f>"7603"</f>
        <v>7603</v>
      </c>
      <c r="D1559" t="str">
        <f>"6"</f>
        <v>6</v>
      </c>
      <c r="E1559" t="s">
        <v>2133</v>
      </c>
      <c r="F1559" t="s">
        <v>24</v>
      </c>
      <c r="G1559" t="s">
        <v>5895</v>
      </c>
      <c r="H1559" t="s">
        <v>17</v>
      </c>
      <c r="I1559" t="s">
        <v>18</v>
      </c>
      <c r="J1559" t="str">
        <f>"4387225107"</f>
        <v>4387225107</v>
      </c>
      <c r="K1559" t="s">
        <v>5896</v>
      </c>
      <c r="L1559" t="s">
        <v>98</v>
      </c>
      <c r="M1559" t="s">
        <v>21</v>
      </c>
    </row>
    <row r="1560" spans="1:13" x14ac:dyDescent="0.35">
      <c r="A1560" t="str">
        <f>"628-1807"</f>
        <v>628-1807</v>
      </c>
      <c r="B1560" t="s">
        <v>5897</v>
      </c>
      <c r="C1560" t="str">
        <f>"6721"</f>
        <v>6721</v>
      </c>
      <c r="E1560" t="s">
        <v>5884</v>
      </c>
      <c r="F1560" t="s">
        <v>24</v>
      </c>
      <c r="G1560" t="s">
        <v>5898</v>
      </c>
      <c r="H1560" t="s">
        <v>17</v>
      </c>
      <c r="I1560" t="s">
        <v>18</v>
      </c>
      <c r="J1560" t="str">
        <f>"5147706335"</f>
        <v>5147706335</v>
      </c>
      <c r="K1560" t="s">
        <v>5899</v>
      </c>
      <c r="L1560" t="s">
        <v>1509</v>
      </c>
      <c r="M1560" t="s">
        <v>21</v>
      </c>
    </row>
    <row r="1561" spans="1:13" x14ac:dyDescent="0.35">
      <c r="A1561" t="str">
        <f>"628-1832"</f>
        <v>628-1832</v>
      </c>
      <c r="B1561" t="s">
        <v>5900</v>
      </c>
      <c r="C1561" t="str">
        <f>"6300"</f>
        <v>6300</v>
      </c>
      <c r="D1561" t="str">
        <f>"408"</f>
        <v>408</v>
      </c>
      <c r="E1561" t="s">
        <v>1276</v>
      </c>
      <c r="F1561" t="s">
        <v>24</v>
      </c>
      <c r="G1561" t="s">
        <v>5901</v>
      </c>
      <c r="H1561" t="s">
        <v>17</v>
      </c>
      <c r="I1561" t="s">
        <v>18</v>
      </c>
      <c r="J1561" t="str">
        <f>"5149942848"</f>
        <v>5149942848</v>
      </c>
      <c r="K1561" t="s">
        <v>5902</v>
      </c>
      <c r="L1561" t="s">
        <v>1509</v>
      </c>
      <c r="M1561" t="s">
        <v>21</v>
      </c>
    </row>
    <row r="1562" spans="1:13" x14ac:dyDescent="0.35">
      <c r="A1562" t="str">
        <f>"628-1632"</f>
        <v>628-1632</v>
      </c>
      <c r="B1562" t="s">
        <v>5903</v>
      </c>
      <c r="C1562" t="str">
        <f>"235"</f>
        <v>235</v>
      </c>
      <c r="E1562" t="s">
        <v>5904</v>
      </c>
      <c r="F1562" t="s">
        <v>5905</v>
      </c>
      <c r="G1562" t="s">
        <v>5906</v>
      </c>
      <c r="H1562" t="s">
        <v>17</v>
      </c>
      <c r="I1562" t="s">
        <v>18</v>
      </c>
      <c r="J1562" t="str">
        <f>"8192376643"</f>
        <v>8192376643</v>
      </c>
      <c r="K1562" t="s">
        <v>5907</v>
      </c>
      <c r="L1562" t="s">
        <v>98</v>
      </c>
      <c r="M1562" t="s">
        <v>21</v>
      </c>
    </row>
    <row r="1563" spans="1:13" x14ac:dyDescent="0.35">
      <c r="A1563" t="str">
        <f>"232-0636"</f>
        <v>232-0636</v>
      </c>
      <c r="B1563" t="s">
        <v>5908</v>
      </c>
      <c r="C1563" t="str">
        <f>"6072"</f>
        <v>6072</v>
      </c>
      <c r="D1563" t="str">
        <f>"232063"</f>
        <v>232063</v>
      </c>
      <c r="E1563" t="s">
        <v>5909</v>
      </c>
      <c r="F1563" t="s">
        <v>24</v>
      </c>
      <c r="G1563" t="s">
        <v>5910</v>
      </c>
      <c r="H1563" t="s">
        <v>17</v>
      </c>
      <c r="I1563" t="s">
        <v>18</v>
      </c>
      <c r="J1563" t="str">
        <f>"5148342902"</f>
        <v>5148342902</v>
      </c>
      <c r="K1563" t="s">
        <v>5911</v>
      </c>
      <c r="L1563" t="s">
        <v>168</v>
      </c>
      <c r="M1563" t="s">
        <v>21</v>
      </c>
    </row>
    <row r="1564" spans="1:13" x14ac:dyDescent="0.35">
      <c r="A1564" t="str">
        <f>"235-1503"</f>
        <v>235-1503</v>
      </c>
      <c r="B1564" t="s">
        <v>5912</v>
      </c>
      <c r="C1564" t="str">
        <f>"3469"</f>
        <v>3469</v>
      </c>
      <c r="D1564" t="str">
        <f>"106"</f>
        <v>106</v>
      </c>
      <c r="E1564" t="s">
        <v>455</v>
      </c>
      <c r="F1564" t="s">
        <v>24</v>
      </c>
      <c r="G1564" t="s">
        <v>1097</v>
      </c>
      <c r="H1564" t="s">
        <v>17</v>
      </c>
      <c r="I1564" t="s">
        <v>18</v>
      </c>
      <c r="J1564" t="str">
        <f>"4389279344"</f>
        <v>4389279344</v>
      </c>
      <c r="K1564" t="s">
        <v>5913</v>
      </c>
      <c r="L1564" t="s">
        <v>193</v>
      </c>
      <c r="M1564" t="s">
        <v>21</v>
      </c>
    </row>
    <row r="1565" spans="1:13" x14ac:dyDescent="0.35">
      <c r="A1565" t="str">
        <f>"240-9684"</f>
        <v>240-9684</v>
      </c>
      <c r="B1565" t="s">
        <v>5914</v>
      </c>
      <c r="I1565" t="s">
        <v>5915</v>
      </c>
      <c r="J1565" t="str">
        <f>"4385353564"</f>
        <v>4385353564</v>
      </c>
      <c r="K1565" t="s">
        <v>5916</v>
      </c>
      <c r="L1565" t="s">
        <v>193</v>
      </c>
      <c r="M1565" t="s">
        <v>21</v>
      </c>
    </row>
    <row r="1566" spans="1:13" x14ac:dyDescent="0.35">
      <c r="A1566" t="str">
        <f>"241-0421"</f>
        <v>241-0421</v>
      </c>
      <c r="B1566" t="s">
        <v>5917</v>
      </c>
      <c r="E1566" t="s">
        <v>5918</v>
      </c>
      <c r="F1566" t="s">
        <v>5919</v>
      </c>
      <c r="I1566" t="s">
        <v>5920</v>
      </c>
      <c r="J1566" t="str">
        <f>"5142298545"</f>
        <v>5142298545</v>
      </c>
      <c r="K1566" t="s">
        <v>5921</v>
      </c>
      <c r="L1566" t="s">
        <v>168</v>
      </c>
      <c r="M1566" t="s">
        <v>21</v>
      </c>
    </row>
    <row r="1567" spans="1:13" x14ac:dyDescent="0.35">
      <c r="A1567" t="str">
        <f>"213-9155"</f>
        <v>213-9155</v>
      </c>
      <c r="B1567" t="s">
        <v>5922</v>
      </c>
      <c r="C1567" t="str">
        <f>"195"</f>
        <v>195</v>
      </c>
      <c r="E1567" t="s">
        <v>5923</v>
      </c>
      <c r="F1567" t="s">
        <v>2148</v>
      </c>
      <c r="G1567" t="s">
        <v>5924</v>
      </c>
      <c r="H1567" t="s">
        <v>17</v>
      </c>
      <c r="I1567" t="s">
        <v>18</v>
      </c>
      <c r="J1567" t="str">
        <f>"4385304568"</f>
        <v>4385304568</v>
      </c>
      <c r="K1567" t="s">
        <v>5925</v>
      </c>
      <c r="L1567" t="s">
        <v>319</v>
      </c>
      <c r="M1567" t="s">
        <v>21</v>
      </c>
    </row>
    <row r="1568" spans="1:13" x14ac:dyDescent="0.35">
      <c r="A1568" t="str">
        <f>"241-5845"</f>
        <v>241-5845</v>
      </c>
      <c r="B1568" t="s">
        <v>5926</v>
      </c>
      <c r="C1568" t="str">
        <f>"1580"</f>
        <v>1580</v>
      </c>
      <c r="D1568" t="str">
        <f>"3"</f>
        <v>3</v>
      </c>
      <c r="E1568" t="s">
        <v>2636</v>
      </c>
      <c r="F1568" t="s">
        <v>24</v>
      </c>
      <c r="G1568" t="s">
        <v>545</v>
      </c>
      <c r="H1568" t="s">
        <v>17</v>
      </c>
      <c r="I1568" t="s">
        <v>18</v>
      </c>
      <c r="J1568" t="str">
        <f>"4382766404"</f>
        <v>4382766404</v>
      </c>
      <c r="K1568" t="s">
        <v>5927</v>
      </c>
      <c r="L1568" t="s">
        <v>193</v>
      </c>
      <c r="M1568" t="s">
        <v>21</v>
      </c>
    </row>
    <row r="1569" spans="1:13" x14ac:dyDescent="0.35">
      <c r="A1569" t="str">
        <f>"238-0633"</f>
        <v>238-0633</v>
      </c>
      <c r="B1569" t="s">
        <v>5928</v>
      </c>
      <c r="C1569" t="str">
        <f>"9104"</f>
        <v>9104</v>
      </c>
      <c r="E1569" t="s">
        <v>5929</v>
      </c>
      <c r="F1569" t="s">
        <v>24</v>
      </c>
      <c r="G1569" t="s">
        <v>5930</v>
      </c>
      <c r="H1569" t="s">
        <v>17</v>
      </c>
      <c r="I1569" t="s">
        <v>18</v>
      </c>
      <c r="J1569" t="str">
        <f>"4384658458"</f>
        <v>4384658458</v>
      </c>
      <c r="K1569" t="s">
        <v>5931</v>
      </c>
      <c r="L1569" t="s">
        <v>1509</v>
      </c>
      <c r="M1569" t="s">
        <v>21</v>
      </c>
    </row>
    <row r="1570" spans="1:13" x14ac:dyDescent="0.35">
      <c r="A1570" t="str">
        <f>"239-9119"</f>
        <v>239-9119</v>
      </c>
      <c r="B1570" t="s">
        <v>5932</v>
      </c>
      <c r="C1570" t="str">
        <f>"1710"</f>
        <v>1710</v>
      </c>
      <c r="E1570" t="s">
        <v>5933</v>
      </c>
      <c r="F1570" t="s">
        <v>54</v>
      </c>
      <c r="G1570" t="s">
        <v>5934</v>
      </c>
      <c r="H1570" t="s">
        <v>17</v>
      </c>
      <c r="I1570" t="s">
        <v>18</v>
      </c>
      <c r="J1570" t="str">
        <f>"4389241711"</f>
        <v>4389241711</v>
      </c>
      <c r="K1570" t="s">
        <v>5935</v>
      </c>
      <c r="L1570" t="s">
        <v>333</v>
      </c>
      <c r="M1570" t="s">
        <v>21</v>
      </c>
    </row>
    <row r="1571" spans="1:13" x14ac:dyDescent="0.35">
      <c r="A1571" t="str">
        <f>"239-9120"</f>
        <v>239-9120</v>
      </c>
      <c r="B1571" t="s">
        <v>5936</v>
      </c>
      <c r="C1571" t="str">
        <f>"89"</f>
        <v>89</v>
      </c>
      <c r="D1571" t="str">
        <f>"2"</f>
        <v>2</v>
      </c>
      <c r="E1571" t="s">
        <v>2603</v>
      </c>
      <c r="F1571" t="s">
        <v>1175</v>
      </c>
      <c r="G1571" t="s">
        <v>5937</v>
      </c>
      <c r="H1571" t="s">
        <v>17</v>
      </c>
      <c r="I1571" t="s">
        <v>18</v>
      </c>
      <c r="J1571" t="str">
        <f>"4383718664"</f>
        <v>4383718664</v>
      </c>
      <c r="K1571" t="s">
        <v>5938</v>
      </c>
      <c r="L1571" t="s">
        <v>333</v>
      </c>
      <c r="M1571" t="s">
        <v>21</v>
      </c>
    </row>
    <row r="1572" spans="1:13" x14ac:dyDescent="0.35">
      <c r="A1572" t="str">
        <f>"239-9121"</f>
        <v>239-9121</v>
      </c>
      <c r="B1572" t="s">
        <v>5939</v>
      </c>
      <c r="C1572" t="str">
        <f>"7955"</f>
        <v>7955</v>
      </c>
      <c r="D1572" t="str">
        <f>"3"</f>
        <v>3</v>
      </c>
      <c r="E1572" t="s">
        <v>5940</v>
      </c>
      <c r="F1572" t="s">
        <v>24</v>
      </c>
      <c r="G1572" t="s">
        <v>848</v>
      </c>
      <c r="H1572" t="s">
        <v>17</v>
      </c>
      <c r="I1572" t="s">
        <v>18</v>
      </c>
      <c r="J1572" t="str">
        <f>"5069611938"</f>
        <v>5069611938</v>
      </c>
      <c r="K1572" t="s">
        <v>5941</v>
      </c>
      <c r="L1572" t="s">
        <v>333</v>
      </c>
      <c r="M1572" t="s">
        <v>21</v>
      </c>
    </row>
    <row r="1573" spans="1:13" x14ac:dyDescent="0.35">
      <c r="A1573" t="str">
        <f>"239-9123"</f>
        <v>239-9123</v>
      </c>
      <c r="B1573" t="s">
        <v>5942</v>
      </c>
      <c r="C1573" t="str">
        <f>"2525B"</f>
        <v>2525B</v>
      </c>
      <c r="E1573" t="s">
        <v>5943</v>
      </c>
      <c r="F1573" t="s">
        <v>54</v>
      </c>
      <c r="G1573" t="s">
        <v>5944</v>
      </c>
      <c r="H1573" t="s">
        <v>17</v>
      </c>
      <c r="I1573" t="s">
        <v>18</v>
      </c>
      <c r="J1573" t="str">
        <f>"4388554830"</f>
        <v>4388554830</v>
      </c>
      <c r="K1573" t="s">
        <v>5945</v>
      </c>
      <c r="L1573" t="s">
        <v>333</v>
      </c>
      <c r="M1573" t="s">
        <v>21</v>
      </c>
    </row>
    <row r="1574" spans="1:13" x14ac:dyDescent="0.35">
      <c r="A1574" t="str">
        <f>"239-9124"</f>
        <v>239-9124</v>
      </c>
      <c r="B1574" t="s">
        <v>5946</v>
      </c>
      <c r="C1574" t="str">
        <f>"361"</f>
        <v>361</v>
      </c>
      <c r="E1574" t="s">
        <v>5947</v>
      </c>
      <c r="F1574" t="s">
        <v>24</v>
      </c>
      <c r="G1574" t="s">
        <v>5948</v>
      </c>
      <c r="H1574" t="s">
        <v>17</v>
      </c>
      <c r="I1574" t="s">
        <v>18</v>
      </c>
      <c r="J1574" t="str">
        <f>"4383500136"</f>
        <v>4383500136</v>
      </c>
      <c r="K1574" t="s">
        <v>5949</v>
      </c>
      <c r="L1574" t="s">
        <v>333</v>
      </c>
      <c r="M1574" t="s">
        <v>21</v>
      </c>
    </row>
    <row r="1575" spans="1:13" x14ac:dyDescent="0.35">
      <c r="A1575" t="str">
        <f>"239-9125"</f>
        <v>239-9125</v>
      </c>
      <c r="B1575" t="s">
        <v>5950</v>
      </c>
      <c r="C1575" t="str">
        <f>"3694"</f>
        <v>3694</v>
      </c>
      <c r="D1575" t="str">
        <f>"3694"</f>
        <v>3694</v>
      </c>
      <c r="E1575" t="s">
        <v>5951</v>
      </c>
      <c r="F1575" t="s">
        <v>322</v>
      </c>
      <c r="G1575" t="s">
        <v>5952</v>
      </c>
      <c r="H1575" t="s">
        <v>17</v>
      </c>
      <c r="I1575" t="s">
        <v>18</v>
      </c>
      <c r="J1575" t="str">
        <f>"4388849339"</f>
        <v>4388849339</v>
      </c>
      <c r="K1575" t="s">
        <v>5953</v>
      </c>
      <c r="L1575" t="s">
        <v>333</v>
      </c>
      <c r="M1575" t="s">
        <v>21</v>
      </c>
    </row>
    <row r="1576" spans="1:13" x14ac:dyDescent="0.35">
      <c r="A1576" t="str">
        <f>"239-9126"</f>
        <v>239-9126</v>
      </c>
      <c r="B1576" t="s">
        <v>5954</v>
      </c>
      <c r="C1576" t="str">
        <f>"119"</f>
        <v>119</v>
      </c>
      <c r="E1576" t="s">
        <v>5955</v>
      </c>
      <c r="F1576" t="s">
        <v>5956</v>
      </c>
      <c r="G1576" t="s">
        <v>5957</v>
      </c>
      <c r="H1576" t="s">
        <v>5958</v>
      </c>
      <c r="I1576" t="s">
        <v>18</v>
      </c>
      <c r="J1576" t="str">
        <f>"4372995067"</f>
        <v>4372995067</v>
      </c>
      <c r="K1576" t="s">
        <v>5959</v>
      </c>
      <c r="L1576" t="s">
        <v>333</v>
      </c>
      <c r="M1576" t="s">
        <v>21</v>
      </c>
    </row>
    <row r="1577" spans="1:13" x14ac:dyDescent="0.35">
      <c r="A1577" t="str">
        <f>"239-9127"</f>
        <v>239-9127</v>
      </c>
      <c r="B1577" t="s">
        <v>5960</v>
      </c>
      <c r="C1577" t="str">
        <f>"333"</f>
        <v>333</v>
      </c>
      <c r="E1577" t="s">
        <v>5961</v>
      </c>
      <c r="F1577" t="s">
        <v>719</v>
      </c>
      <c r="G1577" t="s">
        <v>5962</v>
      </c>
      <c r="H1577" t="s">
        <v>17</v>
      </c>
      <c r="I1577" t="s">
        <v>18</v>
      </c>
      <c r="J1577" t="str">
        <f>"4314516278"</f>
        <v>4314516278</v>
      </c>
      <c r="K1577" t="s">
        <v>5963</v>
      </c>
      <c r="L1577" t="s">
        <v>333</v>
      </c>
      <c r="M1577" t="s">
        <v>21</v>
      </c>
    </row>
    <row r="1578" spans="1:13" x14ac:dyDescent="0.35">
      <c r="A1578" t="str">
        <f>"241-5312"</f>
        <v>241-5312</v>
      </c>
      <c r="B1578" t="s">
        <v>5964</v>
      </c>
      <c r="C1578" t="str">
        <f>"2575"</f>
        <v>2575</v>
      </c>
      <c r="D1578" t="str">
        <f>"43"</f>
        <v>43</v>
      </c>
      <c r="E1578" t="s">
        <v>5965</v>
      </c>
      <c r="F1578" t="s">
        <v>40</v>
      </c>
      <c r="G1578" t="s">
        <v>5966</v>
      </c>
      <c r="H1578" t="s">
        <v>17</v>
      </c>
      <c r="I1578" t="s">
        <v>18</v>
      </c>
      <c r="J1578" t="str">
        <f>"5147052093"</f>
        <v>5147052093</v>
      </c>
      <c r="K1578" t="s">
        <v>5967</v>
      </c>
      <c r="L1578" t="s">
        <v>2316</v>
      </c>
      <c r="M1578" t="s">
        <v>21</v>
      </c>
    </row>
    <row r="1579" spans="1:13" x14ac:dyDescent="0.35">
      <c r="A1579" t="str">
        <f>"241-6434"</f>
        <v>241-6434</v>
      </c>
      <c r="B1579" t="s">
        <v>5968</v>
      </c>
      <c r="C1579" t="str">
        <f>"6585"</f>
        <v>6585</v>
      </c>
      <c r="D1579" t="str">
        <f>"11"</f>
        <v>11</v>
      </c>
      <c r="E1579" t="s">
        <v>5969</v>
      </c>
      <c r="F1579" t="s">
        <v>24</v>
      </c>
      <c r="G1579" t="s">
        <v>5970</v>
      </c>
      <c r="H1579" t="s">
        <v>17</v>
      </c>
      <c r="I1579" t="s">
        <v>18</v>
      </c>
      <c r="J1579" t="str">
        <f>"4384517824"</f>
        <v>4384517824</v>
      </c>
      <c r="K1579" t="s">
        <v>5971</v>
      </c>
      <c r="L1579" t="s">
        <v>2316</v>
      </c>
      <c r="M1579" t="s">
        <v>21</v>
      </c>
    </row>
    <row r="1580" spans="1:13" x14ac:dyDescent="0.35">
      <c r="A1580" t="str">
        <f>"241-2270"</f>
        <v>241-2270</v>
      </c>
      <c r="B1580" t="s">
        <v>5972</v>
      </c>
      <c r="I1580" t="s">
        <v>3666</v>
      </c>
      <c r="J1580" t="str">
        <f>"0612639045"</f>
        <v>0612639045</v>
      </c>
      <c r="K1580" t="s">
        <v>5973</v>
      </c>
      <c r="L1580" t="s">
        <v>193</v>
      </c>
      <c r="M1580" t="s">
        <v>21</v>
      </c>
    </row>
    <row r="1581" spans="1:13" x14ac:dyDescent="0.35">
      <c r="A1581" t="str">
        <f>"241-6482"</f>
        <v>241-6482</v>
      </c>
      <c r="B1581" t="s">
        <v>5974</v>
      </c>
      <c r="C1581" t="str">
        <f>"890"</f>
        <v>890</v>
      </c>
      <c r="E1581" t="s">
        <v>5975</v>
      </c>
      <c r="F1581" t="s">
        <v>54</v>
      </c>
      <c r="G1581" t="s">
        <v>5976</v>
      </c>
      <c r="H1581" t="s">
        <v>17</v>
      </c>
      <c r="I1581" t="s">
        <v>18</v>
      </c>
      <c r="J1581" t="str">
        <f>"5143761620"</f>
        <v>5143761620</v>
      </c>
      <c r="K1581" t="s">
        <v>5977</v>
      </c>
      <c r="L1581" t="s">
        <v>168</v>
      </c>
      <c r="M1581" t="s">
        <v>21</v>
      </c>
    </row>
    <row r="1582" spans="1:13" x14ac:dyDescent="0.35">
      <c r="A1582" t="str">
        <f>"241-4316"</f>
        <v>241-4316</v>
      </c>
      <c r="B1582" t="s">
        <v>5978</v>
      </c>
      <c r="I1582" t="s">
        <v>5979</v>
      </c>
      <c r="J1582" t="str">
        <f>"696915560"</f>
        <v>696915560</v>
      </c>
      <c r="K1582" t="s">
        <v>5980</v>
      </c>
      <c r="L1582" t="s">
        <v>198</v>
      </c>
      <c r="M1582" t="s">
        <v>21</v>
      </c>
    </row>
    <row r="1583" spans="1:13" x14ac:dyDescent="0.35">
      <c r="A1583" t="str">
        <f>"249-9000"</f>
        <v>249-9000</v>
      </c>
      <c r="B1583" t="s">
        <v>5982</v>
      </c>
      <c r="I1583" t="s">
        <v>5983</v>
      </c>
      <c r="J1583" t="str">
        <f>"5143761620"</f>
        <v>5143761620</v>
      </c>
      <c r="K1583" t="s">
        <v>5984</v>
      </c>
      <c r="L1583" t="s">
        <v>275</v>
      </c>
      <c r="M1583" t="s">
        <v>21</v>
      </c>
    </row>
    <row r="1584" spans="1:13" x14ac:dyDescent="0.35">
      <c r="A1584" t="str">
        <f>"249-9001"</f>
        <v>249-9001</v>
      </c>
      <c r="B1584" t="s">
        <v>5985</v>
      </c>
      <c r="C1584" t="str">
        <f>"475"</f>
        <v>475</v>
      </c>
      <c r="D1584" t="str">
        <f>"502"</f>
        <v>502</v>
      </c>
      <c r="E1584" t="s">
        <v>5986</v>
      </c>
      <c r="F1584" t="s">
        <v>157</v>
      </c>
      <c r="G1584" t="s">
        <v>5987</v>
      </c>
      <c r="H1584" t="s">
        <v>17</v>
      </c>
      <c r="I1584" t="s">
        <v>18</v>
      </c>
      <c r="J1584" t="str">
        <f>"4383689580"</f>
        <v>4383689580</v>
      </c>
      <c r="K1584" t="s">
        <v>5988</v>
      </c>
      <c r="L1584" t="s">
        <v>275</v>
      </c>
      <c r="M1584" t="s">
        <v>21</v>
      </c>
    </row>
    <row r="1585" spans="1:13" x14ac:dyDescent="0.35">
      <c r="A1585" t="str">
        <f>"249-9002"</f>
        <v>249-9002</v>
      </c>
      <c r="B1585" t="s">
        <v>5989</v>
      </c>
      <c r="C1585" t="str">
        <f>"4400"</f>
        <v>4400</v>
      </c>
      <c r="D1585" t="str">
        <f>"603"</f>
        <v>603</v>
      </c>
      <c r="E1585" t="s">
        <v>5990</v>
      </c>
      <c r="F1585" t="s">
        <v>4868</v>
      </c>
      <c r="G1585" t="s">
        <v>5991</v>
      </c>
      <c r="H1585" t="s">
        <v>17</v>
      </c>
      <c r="I1585" t="s">
        <v>18</v>
      </c>
      <c r="J1585" t="str">
        <f>"2632884203"</f>
        <v>2632884203</v>
      </c>
      <c r="K1585" t="s">
        <v>5992</v>
      </c>
      <c r="L1585" t="s">
        <v>275</v>
      </c>
      <c r="M1585" t="s">
        <v>21</v>
      </c>
    </row>
    <row r="1586" spans="1:13" x14ac:dyDescent="0.35">
      <c r="A1586" t="str">
        <f>"249-9003"</f>
        <v>249-9003</v>
      </c>
      <c r="B1586" t="s">
        <v>5993</v>
      </c>
      <c r="C1586" t="str">
        <f>"495"</f>
        <v>495</v>
      </c>
      <c r="D1586" t="str">
        <f>"103"</f>
        <v>103</v>
      </c>
      <c r="E1586" t="s">
        <v>2398</v>
      </c>
      <c r="F1586" t="s">
        <v>54</v>
      </c>
      <c r="G1586" t="s">
        <v>2399</v>
      </c>
      <c r="H1586" t="s">
        <v>17</v>
      </c>
      <c r="I1586" t="s">
        <v>18</v>
      </c>
      <c r="J1586" t="str">
        <f>"5143761620"</f>
        <v>5143761620</v>
      </c>
      <c r="K1586" t="s">
        <v>5994</v>
      </c>
      <c r="L1586" t="s">
        <v>275</v>
      </c>
      <c r="M1586" t="s">
        <v>21</v>
      </c>
    </row>
    <row r="1587" spans="1:13" x14ac:dyDescent="0.35">
      <c r="A1587" t="str">
        <f>"249-9004"</f>
        <v>249-9004</v>
      </c>
      <c r="B1587" t="s">
        <v>5995</v>
      </c>
      <c r="C1587" t="str">
        <f>"11677"</f>
        <v>11677</v>
      </c>
      <c r="D1587" t="str">
        <f>"104"</f>
        <v>104</v>
      </c>
      <c r="E1587" t="s">
        <v>5996</v>
      </c>
      <c r="F1587" t="s">
        <v>24</v>
      </c>
      <c r="G1587" t="s">
        <v>5997</v>
      </c>
      <c r="H1587" t="s">
        <v>17</v>
      </c>
      <c r="I1587" t="s">
        <v>18</v>
      </c>
      <c r="J1587" t="str">
        <f>"4389206044"</f>
        <v>4389206044</v>
      </c>
      <c r="K1587" t="s">
        <v>5998</v>
      </c>
      <c r="L1587" t="s">
        <v>275</v>
      </c>
      <c r="M1587" t="s">
        <v>21</v>
      </c>
    </row>
    <row r="1588" spans="1:13" x14ac:dyDescent="0.35">
      <c r="A1588" t="str">
        <f>"249-9005"</f>
        <v>249-9005</v>
      </c>
      <c r="B1588" t="s">
        <v>5999</v>
      </c>
      <c r="C1588" t="str">
        <f>"5610"</f>
        <v>5610</v>
      </c>
      <c r="D1588" t="str">
        <f>"3"</f>
        <v>3</v>
      </c>
      <c r="E1588" t="s">
        <v>1835</v>
      </c>
      <c r="F1588" t="s">
        <v>24</v>
      </c>
      <c r="G1588" t="s">
        <v>6000</v>
      </c>
      <c r="H1588" t="s">
        <v>17</v>
      </c>
      <c r="I1588" t="s">
        <v>18</v>
      </c>
      <c r="J1588" t="str">
        <f>"5144305843"</f>
        <v>5144305843</v>
      </c>
      <c r="K1588" t="s">
        <v>6001</v>
      </c>
      <c r="L1588" t="s">
        <v>275</v>
      </c>
      <c r="M1588" t="s">
        <v>21</v>
      </c>
    </row>
    <row r="1589" spans="1:13" x14ac:dyDescent="0.35">
      <c r="A1589" t="str">
        <f>"249-9007"</f>
        <v>249-9007</v>
      </c>
      <c r="B1589" t="s">
        <v>6002</v>
      </c>
      <c r="C1589" t="str">
        <f>"581"</f>
        <v>581</v>
      </c>
      <c r="E1589" t="s">
        <v>6003</v>
      </c>
      <c r="F1589" t="s">
        <v>32</v>
      </c>
      <c r="G1589" t="s">
        <v>6004</v>
      </c>
      <c r="H1589" t="s">
        <v>17</v>
      </c>
      <c r="I1589" t="s">
        <v>18</v>
      </c>
      <c r="J1589" t="str">
        <f>"4385404214"</f>
        <v>4385404214</v>
      </c>
      <c r="K1589" t="s">
        <v>6005</v>
      </c>
      <c r="L1589" t="s">
        <v>275</v>
      </c>
      <c r="M1589" t="s">
        <v>21</v>
      </c>
    </row>
    <row r="1590" spans="1:13" x14ac:dyDescent="0.35">
      <c r="A1590" t="str">
        <f>"249-9008"</f>
        <v>249-9008</v>
      </c>
      <c r="B1590" t="s">
        <v>6006</v>
      </c>
      <c r="C1590" t="str">
        <f>"934"</f>
        <v>934</v>
      </c>
      <c r="D1590" t="str">
        <f>"1"</f>
        <v>1</v>
      </c>
      <c r="E1590" t="s">
        <v>6007</v>
      </c>
      <c r="F1590" t="s">
        <v>40</v>
      </c>
      <c r="G1590" t="s">
        <v>6008</v>
      </c>
      <c r="H1590" t="s">
        <v>17</v>
      </c>
      <c r="I1590" t="s">
        <v>18</v>
      </c>
      <c r="J1590" t="str">
        <f>"5143761620"</f>
        <v>5143761620</v>
      </c>
      <c r="K1590" t="s">
        <v>6009</v>
      </c>
      <c r="L1590" t="s">
        <v>275</v>
      </c>
      <c r="M1590" t="s">
        <v>21</v>
      </c>
    </row>
    <row r="1591" spans="1:13" x14ac:dyDescent="0.35">
      <c r="A1591" t="str">
        <f>"249-9009"</f>
        <v>249-9009</v>
      </c>
      <c r="B1591" t="s">
        <v>6010</v>
      </c>
      <c r="C1591" t="str">
        <f>"9139"</f>
        <v>9139</v>
      </c>
      <c r="E1591" t="s">
        <v>3523</v>
      </c>
      <c r="F1591" t="s">
        <v>24</v>
      </c>
      <c r="G1591" t="s">
        <v>6011</v>
      </c>
      <c r="H1591" t="s">
        <v>17</v>
      </c>
      <c r="I1591" t="s">
        <v>18</v>
      </c>
      <c r="J1591" t="str">
        <f>"4389200028"</f>
        <v>4389200028</v>
      </c>
      <c r="K1591" t="s">
        <v>6012</v>
      </c>
      <c r="L1591" t="s">
        <v>275</v>
      </c>
      <c r="M1591" t="s">
        <v>21</v>
      </c>
    </row>
    <row r="1592" spans="1:13" x14ac:dyDescent="0.35">
      <c r="A1592" t="str">
        <f>"249-9010"</f>
        <v>249-9010</v>
      </c>
      <c r="B1592" t="s">
        <v>6013</v>
      </c>
      <c r="C1592" t="str">
        <f>"5187"</f>
        <v>5187</v>
      </c>
      <c r="D1592" t="str">
        <f>"10"</f>
        <v>10</v>
      </c>
      <c r="E1592" t="s">
        <v>6014</v>
      </c>
      <c r="F1592" t="s">
        <v>24</v>
      </c>
      <c r="G1592" t="s">
        <v>6015</v>
      </c>
      <c r="H1592" t="s">
        <v>17</v>
      </c>
      <c r="I1592" t="s">
        <v>18</v>
      </c>
      <c r="J1592" t="str">
        <f>"5819969130"</f>
        <v>5819969130</v>
      </c>
      <c r="K1592" t="s">
        <v>6016</v>
      </c>
      <c r="L1592" t="s">
        <v>275</v>
      </c>
      <c r="M1592" t="s">
        <v>21</v>
      </c>
    </row>
    <row r="1593" spans="1:13" x14ac:dyDescent="0.35">
      <c r="A1593" t="str">
        <f>"249-9011"</f>
        <v>249-9011</v>
      </c>
      <c r="B1593" t="s">
        <v>6017</v>
      </c>
      <c r="C1593" t="str">
        <f>"11460"</f>
        <v>11460</v>
      </c>
      <c r="D1593" t="str">
        <f>"105"</f>
        <v>105</v>
      </c>
      <c r="E1593" t="s">
        <v>691</v>
      </c>
      <c r="F1593" t="s">
        <v>24</v>
      </c>
      <c r="G1593" t="s">
        <v>692</v>
      </c>
      <c r="H1593" t="s">
        <v>17</v>
      </c>
      <c r="I1593" t="s">
        <v>18</v>
      </c>
      <c r="J1593" t="str">
        <f>"4386220417"</f>
        <v>4386220417</v>
      </c>
      <c r="K1593" t="s">
        <v>6018</v>
      </c>
      <c r="L1593" t="s">
        <v>275</v>
      </c>
      <c r="M1593" t="s">
        <v>21</v>
      </c>
    </row>
    <row r="1594" spans="1:13" x14ac:dyDescent="0.35">
      <c r="A1594" t="str">
        <f>"628-5844"</f>
        <v>628-5844</v>
      </c>
      <c r="B1594" t="s">
        <v>6019</v>
      </c>
      <c r="C1594" t="str">
        <f>"1401"</f>
        <v>1401</v>
      </c>
      <c r="E1594" t="s">
        <v>6020</v>
      </c>
      <c r="F1594" t="s">
        <v>24</v>
      </c>
      <c r="G1594" t="s">
        <v>6021</v>
      </c>
      <c r="H1594" t="s">
        <v>17</v>
      </c>
      <c r="I1594" t="s">
        <v>18</v>
      </c>
      <c r="J1594" t="str">
        <f>"4389259760"</f>
        <v>4389259760</v>
      </c>
      <c r="K1594" t="s">
        <v>6022</v>
      </c>
      <c r="L1594" t="s">
        <v>1509</v>
      </c>
      <c r="M1594" t="s">
        <v>21</v>
      </c>
    </row>
    <row r="1595" spans="1:13" x14ac:dyDescent="0.35">
      <c r="A1595" t="str">
        <f>"628-4264"</f>
        <v>628-4264</v>
      </c>
      <c r="B1595" t="s">
        <v>6023</v>
      </c>
      <c r="C1595" t="str">
        <f>"4850"</f>
        <v>4850</v>
      </c>
      <c r="D1595" t="str">
        <f>"1403"</f>
        <v>1403</v>
      </c>
      <c r="E1595" t="s">
        <v>6024</v>
      </c>
      <c r="F1595" t="s">
        <v>24</v>
      </c>
      <c r="G1595" t="s">
        <v>6025</v>
      </c>
      <c r="H1595" t="s">
        <v>17</v>
      </c>
      <c r="I1595" t="s">
        <v>18</v>
      </c>
      <c r="J1595" t="str">
        <f>"5149537794"</f>
        <v>5149537794</v>
      </c>
      <c r="K1595" t="s">
        <v>6026</v>
      </c>
      <c r="L1595" t="s">
        <v>4004</v>
      </c>
      <c r="M1595" t="s">
        <v>21</v>
      </c>
    </row>
    <row r="1596" spans="1:13" x14ac:dyDescent="0.35">
      <c r="A1596" t="str">
        <f>"974-5651"</f>
        <v>974-5651</v>
      </c>
      <c r="B1596" t="s">
        <v>6027</v>
      </c>
      <c r="C1596" t="str">
        <f>"13"</f>
        <v>13</v>
      </c>
      <c r="E1596" t="s">
        <v>6028</v>
      </c>
      <c r="F1596" t="s">
        <v>43</v>
      </c>
      <c r="G1596" t="s">
        <v>6029</v>
      </c>
      <c r="H1596" t="s">
        <v>17</v>
      </c>
      <c r="I1596" t="s">
        <v>18</v>
      </c>
      <c r="J1596" t="str">
        <f>"4509166460"</f>
        <v>4509166460</v>
      </c>
      <c r="K1596" t="s">
        <v>6030</v>
      </c>
      <c r="L1596" t="s">
        <v>98</v>
      </c>
      <c r="M1596" t="s">
        <v>21</v>
      </c>
    </row>
    <row r="1597" spans="1:13" x14ac:dyDescent="0.35">
      <c r="A1597" t="str">
        <f>"628-5452"</f>
        <v>628-5452</v>
      </c>
      <c r="B1597" t="s">
        <v>6031</v>
      </c>
      <c r="C1597" t="str">
        <f>"11220"</f>
        <v>11220</v>
      </c>
      <c r="D1597" t="str">
        <f>"02"</f>
        <v>02</v>
      </c>
      <c r="E1597" t="s">
        <v>6032</v>
      </c>
      <c r="F1597" t="s">
        <v>24</v>
      </c>
      <c r="G1597" t="s">
        <v>6033</v>
      </c>
      <c r="H1597" t="s">
        <v>17</v>
      </c>
      <c r="I1597" t="s">
        <v>18</v>
      </c>
      <c r="J1597" t="str">
        <f>"5145918381"</f>
        <v>5145918381</v>
      </c>
      <c r="K1597" t="s">
        <v>6034</v>
      </c>
      <c r="L1597" t="s">
        <v>4004</v>
      </c>
      <c r="M1597" t="s">
        <v>21</v>
      </c>
    </row>
    <row r="1598" spans="1:13" x14ac:dyDescent="0.35">
      <c r="A1598" t="str">
        <f>"628-5138"</f>
        <v>628-5138</v>
      </c>
      <c r="B1598" t="s">
        <v>6035</v>
      </c>
      <c r="C1598" t="str">
        <f>"3530"</f>
        <v>3530</v>
      </c>
      <c r="D1598" t="str">
        <f>"316"</f>
        <v>316</v>
      </c>
      <c r="E1598" t="s">
        <v>343</v>
      </c>
      <c r="F1598" t="s">
        <v>24</v>
      </c>
      <c r="G1598" t="s">
        <v>6036</v>
      </c>
      <c r="H1598" t="s">
        <v>17</v>
      </c>
      <c r="I1598" t="s">
        <v>18</v>
      </c>
      <c r="J1598" t="str">
        <f>"5142078956"</f>
        <v>5142078956</v>
      </c>
      <c r="K1598" t="s">
        <v>6037</v>
      </c>
      <c r="L1598" t="s">
        <v>4004</v>
      </c>
      <c r="M1598" t="s">
        <v>21</v>
      </c>
    </row>
    <row r="1599" spans="1:13" x14ac:dyDescent="0.35">
      <c r="A1599" t="str">
        <f>"239-9152"</f>
        <v>239-9152</v>
      </c>
      <c r="B1599" t="s">
        <v>6038</v>
      </c>
      <c r="C1599" t="str">
        <f>"114"</f>
        <v>114</v>
      </c>
      <c r="E1599" t="s">
        <v>6039</v>
      </c>
      <c r="F1599" t="s">
        <v>3061</v>
      </c>
      <c r="G1599" t="s">
        <v>6040</v>
      </c>
      <c r="H1599" t="s">
        <v>17</v>
      </c>
      <c r="I1599" t="s">
        <v>18</v>
      </c>
      <c r="J1599" t="str">
        <f>"4384684543"</f>
        <v>4384684543</v>
      </c>
      <c r="K1599" t="s">
        <v>6041</v>
      </c>
      <c r="L1599" t="s">
        <v>333</v>
      </c>
      <c r="M1599" t="s">
        <v>21</v>
      </c>
    </row>
    <row r="1600" spans="1:13" x14ac:dyDescent="0.35">
      <c r="A1600" t="str">
        <f>"185-1993"</f>
        <v>185-1993</v>
      </c>
      <c r="B1600" t="s">
        <v>6042</v>
      </c>
      <c r="C1600" t="str">
        <f>"2375"</f>
        <v>2375</v>
      </c>
      <c r="D1600" t="str">
        <f>"101"</f>
        <v>101</v>
      </c>
      <c r="E1600" t="s">
        <v>281</v>
      </c>
      <c r="F1600" t="s">
        <v>24</v>
      </c>
      <c r="G1600" t="s">
        <v>282</v>
      </c>
      <c r="H1600" t="s">
        <v>17</v>
      </c>
      <c r="I1600" t="s">
        <v>18</v>
      </c>
      <c r="J1600" t="str">
        <f>"4384092116"</f>
        <v>4384092116</v>
      </c>
      <c r="K1600" t="s">
        <v>6043</v>
      </c>
      <c r="L1600" t="s">
        <v>396</v>
      </c>
      <c r="M1600" t="s">
        <v>21</v>
      </c>
    </row>
    <row r="1601" spans="1:13" x14ac:dyDescent="0.35">
      <c r="A1601" t="str">
        <f>"195-2579"</f>
        <v>195-2579</v>
      </c>
      <c r="B1601" t="s">
        <v>6044</v>
      </c>
      <c r="C1601" t="str">
        <f>"7721"</f>
        <v>7721</v>
      </c>
      <c r="E1601" t="s">
        <v>6045</v>
      </c>
      <c r="F1601" t="s">
        <v>24</v>
      </c>
      <c r="G1601" t="s">
        <v>6046</v>
      </c>
      <c r="H1601" t="s">
        <v>17</v>
      </c>
      <c r="I1601" t="s">
        <v>18</v>
      </c>
      <c r="J1601" t="str">
        <f>"4383994913"</f>
        <v>4383994913</v>
      </c>
      <c r="K1601" t="s">
        <v>6047</v>
      </c>
      <c r="L1601" t="s">
        <v>39</v>
      </c>
      <c r="M1601" t="s">
        <v>21</v>
      </c>
    </row>
    <row r="1602" spans="1:13" x14ac:dyDescent="0.35">
      <c r="A1602" t="str">
        <f>"226-3757"</f>
        <v>226-3757</v>
      </c>
      <c r="B1602" t="s">
        <v>6048</v>
      </c>
      <c r="C1602" t="str">
        <f>"1059"</f>
        <v>1059</v>
      </c>
      <c r="E1602" t="s">
        <v>6049</v>
      </c>
      <c r="F1602" t="s">
        <v>32</v>
      </c>
      <c r="G1602" t="s">
        <v>6050</v>
      </c>
      <c r="H1602" t="s">
        <v>17</v>
      </c>
      <c r="I1602" t="s">
        <v>18</v>
      </c>
      <c r="J1602" t="str">
        <f>"4389513632"</f>
        <v>4389513632</v>
      </c>
      <c r="K1602" t="s">
        <v>6051</v>
      </c>
      <c r="L1602" t="s">
        <v>168</v>
      </c>
      <c r="M1602" t="s">
        <v>21</v>
      </c>
    </row>
    <row r="1603" spans="1:13" x14ac:dyDescent="0.35">
      <c r="A1603" t="str">
        <f>"231-5690"</f>
        <v>231-5690</v>
      </c>
      <c r="B1603" t="s">
        <v>6053</v>
      </c>
      <c r="C1603" t="str">
        <f>"2075"</f>
        <v>2075</v>
      </c>
      <c r="D1603" t="str">
        <f>"2075"</f>
        <v>2075</v>
      </c>
      <c r="E1603" t="s">
        <v>1832</v>
      </c>
      <c r="F1603" t="s">
        <v>24</v>
      </c>
      <c r="G1603" t="s">
        <v>6054</v>
      </c>
      <c r="H1603" t="s">
        <v>17</v>
      </c>
      <c r="I1603" t="s">
        <v>18</v>
      </c>
      <c r="J1603" t="str">
        <f>"5149681207"</f>
        <v>5149681207</v>
      </c>
      <c r="K1603" t="s">
        <v>6055</v>
      </c>
      <c r="L1603" t="s">
        <v>193</v>
      </c>
      <c r="M1603" t="s">
        <v>21</v>
      </c>
    </row>
    <row r="1604" spans="1:13" x14ac:dyDescent="0.35">
      <c r="A1604" t="str">
        <f>"237-8935"</f>
        <v>237-8935</v>
      </c>
      <c r="B1604" t="s">
        <v>6056</v>
      </c>
      <c r="C1604" t="str">
        <f>"2114"</f>
        <v>2114</v>
      </c>
      <c r="D1604" t="str">
        <f>"725"</f>
        <v>725</v>
      </c>
      <c r="E1604" t="s">
        <v>6057</v>
      </c>
      <c r="F1604" t="s">
        <v>24</v>
      </c>
      <c r="G1604" t="s">
        <v>6058</v>
      </c>
      <c r="H1604" t="s">
        <v>17</v>
      </c>
      <c r="I1604" t="s">
        <v>18</v>
      </c>
      <c r="J1604" t="str">
        <f>"4387889814"</f>
        <v>4387889814</v>
      </c>
      <c r="K1604" t="s">
        <v>6059</v>
      </c>
      <c r="L1604" t="s">
        <v>168</v>
      </c>
      <c r="M1604" t="s">
        <v>21</v>
      </c>
    </row>
    <row r="1605" spans="1:13" x14ac:dyDescent="0.35">
      <c r="A1605" t="str">
        <f>"242-4704"</f>
        <v>242-4704</v>
      </c>
      <c r="B1605" t="s">
        <v>6060</v>
      </c>
      <c r="C1605" t="str">
        <f>"5345"</f>
        <v>5345</v>
      </c>
      <c r="E1605" t="s">
        <v>6061</v>
      </c>
      <c r="F1605" t="s">
        <v>24</v>
      </c>
      <c r="G1605" t="s">
        <v>6062</v>
      </c>
      <c r="H1605" t="s">
        <v>17</v>
      </c>
      <c r="I1605" t="s">
        <v>18</v>
      </c>
      <c r="J1605" t="str">
        <f>"4387780334"</f>
        <v>4387780334</v>
      </c>
      <c r="K1605" t="s">
        <v>6063</v>
      </c>
      <c r="L1605" t="s">
        <v>168</v>
      </c>
      <c r="M1605" t="s">
        <v>21</v>
      </c>
    </row>
    <row r="1606" spans="1:13" x14ac:dyDescent="0.35">
      <c r="A1606" t="str">
        <f>"242-4756"</f>
        <v>242-4756</v>
      </c>
      <c r="B1606" t="s">
        <v>6064</v>
      </c>
      <c r="C1606" t="str">
        <f>"3941"</f>
        <v>3941</v>
      </c>
      <c r="D1606" t="str">
        <f>"201"</f>
        <v>201</v>
      </c>
      <c r="E1606" t="s">
        <v>1498</v>
      </c>
      <c r="F1606" t="s">
        <v>24</v>
      </c>
      <c r="G1606" t="s">
        <v>6065</v>
      </c>
      <c r="H1606" t="s">
        <v>17</v>
      </c>
      <c r="I1606" t="s">
        <v>18</v>
      </c>
      <c r="J1606" t="str">
        <f>"4388760986"</f>
        <v>4388760986</v>
      </c>
      <c r="K1606" t="s">
        <v>6066</v>
      </c>
      <c r="L1606" t="s">
        <v>2316</v>
      </c>
      <c r="M1606" t="s">
        <v>21</v>
      </c>
    </row>
    <row r="1607" spans="1:13" x14ac:dyDescent="0.35">
      <c r="A1607" t="str">
        <f>"242-4875"</f>
        <v>242-4875</v>
      </c>
      <c r="B1607" t="s">
        <v>6067</v>
      </c>
      <c r="C1607" t="str">
        <f>"5995"</f>
        <v>5995</v>
      </c>
      <c r="D1607" t="str">
        <f>"514"</f>
        <v>514</v>
      </c>
      <c r="E1607" t="s">
        <v>1671</v>
      </c>
      <c r="F1607" t="s">
        <v>24</v>
      </c>
      <c r="G1607" t="s">
        <v>2527</v>
      </c>
      <c r="H1607" t="s">
        <v>17</v>
      </c>
      <c r="I1607" t="s">
        <v>18</v>
      </c>
      <c r="J1607" t="str">
        <f>"5142124491"</f>
        <v>5142124491</v>
      </c>
      <c r="K1607" t="s">
        <v>6068</v>
      </c>
      <c r="L1607" t="s">
        <v>70</v>
      </c>
      <c r="M1607" t="s">
        <v>21</v>
      </c>
    </row>
    <row r="1608" spans="1:13" x14ac:dyDescent="0.35">
      <c r="A1608" t="str">
        <f>"242-4878"</f>
        <v>242-4878</v>
      </c>
      <c r="B1608" t="s">
        <v>6069</v>
      </c>
      <c r="C1608" t="str">
        <f>"4713"</f>
        <v>4713</v>
      </c>
      <c r="E1608" t="s">
        <v>6070</v>
      </c>
      <c r="F1608" t="s">
        <v>24</v>
      </c>
      <c r="G1608" t="s">
        <v>6071</v>
      </c>
      <c r="H1608" t="s">
        <v>17</v>
      </c>
      <c r="I1608" t="s">
        <v>18</v>
      </c>
      <c r="J1608" t="str">
        <f>"4382217551"</f>
        <v>4382217551</v>
      </c>
      <c r="K1608" t="s">
        <v>6072</v>
      </c>
      <c r="L1608" t="s">
        <v>168</v>
      </c>
      <c r="M1608" t="s">
        <v>21</v>
      </c>
    </row>
    <row r="1609" spans="1:13" x14ac:dyDescent="0.35">
      <c r="A1609" t="str">
        <f>"242-7943"</f>
        <v>242-7943</v>
      </c>
      <c r="B1609" t="s">
        <v>6073</v>
      </c>
      <c r="C1609" t="str">
        <f>"5680"</f>
        <v>5680</v>
      </c>
      <c r="E1609" t="s">
        <v>3910</v>
      </c>
      <c r="F1609" t="s">
        <v>24</v>
      </c>
      <c r="G1609" t="s">
        <v>6074</v>
      </c>
      <c r="H1609" t="s">
        <v>17</v>
      </c>
      <c r="I1609" t="s">
        <v>18</v>
      </c>
      <c r="J1609" t="str">
        <f>"5142533743"</f>
        <v>5142533743</v>
      </c>
      <c r="K1609" t="s">
        <v>6075</v>
      </c>
      <c r="L1609" t="s">
        <v>76</v>
      </c>
      <c r="M1609" t="s">
        <v>21</v>
      </c>
    </row>
    <row r="1610" spans="1:13" x14ac:dyDescent="0.35">
      <c r="A1610" t="str">
        <f>"242-7953"</f>
        <v>242-7953</v>
      </c>
      <c r="B1610" t="s">
        <v>6076</v>
      </c>
      <c r="C1610" t="str">
        <f>"4"</f>
        <v>4</v>
      </c>
      <c r="E1610" t="s">
        <v>6077</v>
      </c>
      <c r="F1610" t="s">
        <v>24</v>
      </c>
      <c r="G1610" t="s">
        <v>6078</v>
      </c>
      <c r="H1610" t="s">
        <v>17</v>
      </c>
      <c r="I1610" t="s">
        <v>18</v>
      </c>
      <c r="J1610" t="str">
        <f>"5145725878"</f>
        <v>5145725878</v>
      </c>
      <c r="K1610" t="s">
        <v>6079</v>
      </c>
      <c r="L1610" t="s">
        <v>70</v>
      </c>
      <c r="M1610" t="s">
        <v>21</v>
      </c>
    </row>
    <row r="1611" spans="1:13" x14ac:dyDescent="0.35">
      <c r="A1611" t="str">
        <f>"242-8016"</f>
        <v>242-8016</v>
      </c>
      <c r="B1611" t="s">
        <v>6080</v>
      </c>
      <c r="C1611" t="str">
        <f>"212"</f>
        <v>212</v>
      </c>
      <c r="E1611" t="s">
        <v>6081</v>
      </c>
      <c r="F1611" t="s">
        <v>32</v>
      </c>
      <c r="G1611" t="s">
        <v>6082</v>
      </c>
      <c r="H1611" t="s">
        <v>17</v>
      </c>
      <c r="I1611" t="s">
        <v>18</v>
      </c>
      <c r="J1611" t="str">
        <f>"4388891636"</f>
        <v>4388891636</v>
      </c>
      <c r="K1611" t="s">
        <v>6083</v>
      </c>
      <c r="L1611" t="s">
        <v>70</v>
      </c>
      <c r="M1611" t="s">
        <v>21</v>
      </c>
    </row>
    <row r="1612" spans="1:13" x14ac:dyDescent="0.35">
      <c r="A1612" t="str">
        <f>"223-8686"</f>
        <v>223-8686</v>
      </c>
      <c r="B1612" t="s">
        <v>6084</v>
      </c>
      <c r="C1612" t="str">
        <f>"5980"</f>
        <v>5980</v>
      </c>
      <c r="D1612" t="str">
        <f>"2"</f>
        <v>2</v>
      </c>
      <c r="E1612" t="s">
        <v>830</v>
      </c>
      <c r="F1612" t="s">
        <v>40</v>
      </c>
      <c r="G1612" t="s">
        <v>5981</v>
      </c>
      <c r="H1612" t="s">
        <v>17</v>
      </c>
      <c r="I1612" t="s">
        <v>18</v>
      </c>
      <c r="J1612" t="str">
        <f>"8196513406"</f>
        <v>8196513406</v>
      </c>
      <c r="K1612" t="s">
        <v>6085</v>
      </c>
      <c r="L1612" t="s">
        <v>88</v>
      </c>
      <c r="M1612" t="s">
        <v>21</v>
      </c>
    </row>
    <row r="1613" spans="1:13" x14ac:dyDescent="0.35">
      <c r="A1613" t="str">
        <f>"234-5487"</f>
        <v>234-5487</v>
      </c>
      <c r="B1613" t="s">
        <v>6086</v>
      </c>
      <c r="C1613" t="str">
        <f>"9"</f>
        <v>9</v>
      </c>
      <c r="E1613" t="s">
        <v>6087</v>
      </c>
      <c r="F1613" t="s">
        <v>2580</v>
      </c>
      <c r="G1613" t="s">
        <v>6088</v>
      </c>
      <c r="H1613" t="s">
        <v>17</v>
      </c>
      <c r="I1613" t="s">
        <v>18</v>
      </c>
      <c r="J1613" t="str">
        <f>"5148957395"</f>
        <v>5148957395</v>
      </c>
      <c r="K1613" t="s">
        <v>6089</v>
      </c>
      <c r="L1613" t="s">
        <v>220</v>
      </c>
      <c r="M1613" t="s">
        <v>21</v>
      </c>
    </row>
    <row r="1614" spans="1:13" x14ac:dyDescent="0.35">
      <c r="A1614" t="str">
        <f>"235-5659"</f>
        <v>235-5659</v>
      </c>
      <c r="B1614" t="s">
        <v>6090</v>
      </c>
      <c r="C1614" t="str">
        <f>"2092"</f>
        <v>2092</v>
      </c>
      <c r="E1614" t="s">
        <v>1832</v>
      </c>
      <c r="F1614" t="s">
        <v>24</v>
      </c>
      <c r="G1614" t="s">
        <v>6091</v>
      </c>
      <c r="H1614" t="s">
        <v>17</v>
      </c>
      <c r="I1614" t="s">
        <v>18</v>
      </c>
      <c r="J1614" t="str">
        <f>"5145495323"</f>
        <v>5145495323</v>
      </c>
      <c r="K1614" t="s">
        <v>6092</v>
      </c>
      <c r="L1614" t="s">
        <v>383</v>
      </c>
      <c r="M1614" t="s">
        <v>21</v>
      </c>
    </row>
    <row r="1615" spans="1:13" x14ac:dyDescent="0.35">
      <c r="A1615" t="str">
        <f>"242-9692"</f>
        <v>242-9692</v>
      </c>
      <c r="B1615" t="s">
        <v>6093</v>
      </c>
      <c r="C1615" t="str">
        <f>"10215"</f>
        <v>10215</v>
      </c>
      <c r="D1615" t="str">
        <f>"4"</f>
        <v>4</v>
      </c>
      <c r="E1615" t="s">
        <v>2499</v>
      </c>
      <c r="F1615" t="s">
        <v>24</v>
      </c>
      <c r="G1615" t="s">
        <v>6094</v>
      </c>
      <c r="H1615" t="s">
        <v>17</v>
      </c>
      <c r="I1615" t="s">
        <v>18</v>
      </c>
      <c r="J1615" t="str">
        <f>"5148986509"</f>
        <v>5148986509</v>
      </c>
      <c r="K1615" t="s">
        <v>6095</v>
      </c>
      <c r="L1615" t="s">
        <v>76</v>
      </c>
      <c r="M1615" t="s">
        <v>21</v>
      </c>
    </row>
    <row r="1616" spans="1:13" x14ac:dyDescent="0.35">
      <c r="A1616" t="str">
        <f>"242-9875"</f>
        <v>242-9875</v>
      </c>
      <c r="B1616" t="s">
        <v>6096</v>
      </c>
      <c r="C1616" t="str">
        <f>"5650"</f>
        <v>5650</v>
      </c>
      <c r="D1616" t="str">
        <f>"10"</f>
        <v>10</v>
      </c>
      <c r="E1616" t="s">
        <v>603</v>
      </c>
      <c r="F1616" t="s">
        <v>24</v>
      </c>
      <c r="G1616" t="s">
        <v>6097</v>
      </c>
      <c r="H1616" t="s">
        <v>17</v>
      </c>
      <c r="I1616" t="s">
        <v>18</v>
      </c>
      <c r="J1616" t="str">
        <f>"4388754555"</f>
        <v>4388754555</v>
      </c>
      <c r="K1616" t="s">
        <v>6098</v>
      </c>
      <c r="L1616" t="s">
        <v>588</v>
      </c>
      <c r="M1616" t="s">
        <v>21</v>
      </c>
    </row>
    <row r="1617" spans="1:13" x14ac:dyDescent="0.35">
      <c r="A1617" t="str">
        <f>"243-4021"</f>
        <v>243-4021</v>
      </c>
      <c r="B1617" t="s">
        <v>6099</v>
      </c>
      <c r="C1617" t="str">
        <f>"3585"</f>
        <v>3585</v>
      </c>
      <c r="D1617" t="str">
        <f>"6"</f>
        <v>6</v>
      </c>
      <c r="E1617" t="s">
        <v>1208</v>
      </c>
      <c r="F1617" t="s">
        <v>24</v>
      </c>
      <c r="G1617" t="s">
        <v>6100</v>
      </c>
      <c r="H1617" t="s">
        <v>17</v>
      </c>
      <c r="I1617" t="s">
        <v>18</v>
      </c>
      <c r="J1617" t="str">
        <f>"4388743407"</f>
        <v>4388743407</v>
      </c>
      <c r="K1617" t="s">
        <v>6101</v>
      </c>
      <c r="L1617" t="s">
        <v>70</v>
      </c>
      <c r="M1617" t="s">
        <v>21</v>
      </c>
    </row>
    <row r="1618" spans="1:13" x14ac:dyDescent="0.35">
      <c r="A1618" t="str">
        <f>"159-3118"</f>
        <v>159-3118</v>
      </c>
      <c r="B1618" t="s">
        <v>6102</v>
      </c>
      <c r="C1618" t="str">
        <f>"2065"</f>
        <v>2065</v>
      </c>
      <c r="E1618" t="s">
        <v>6103</v>
      </c>
      <c r="F1618" t="s">
        <v>54</v>
      </c>
      <c r="G1618" t="s">
        <v>6104</v>
      </c>
      <c r="H1618" t="s">
        <v>17</v>
      </c>
      <c r="I1618" t="s">
        <v>18</v>
      </c>
      <c r="J1618" t="str">
        <f>"5147052567"</f>
        <v>5147052567</v>
      </c>
      <c r="K1618" t="s">
        <v>6105</v>
      </c>
      <c r="L1618" t="s">
        <v>198</v>
      </c>
      <c r="M1618" t="s">
        <v>21</v>
      </c>
    </row>
    <row r="1619" spans="1:13" x14ac:dyDescent="0.35">
      <c r="A1619" t="str">
        <f>"183-9274"</f>
        <v>183-9274</v>
      </c>
      <c r="B1619" t="s">
        <v>6106</v>
      </c>
      <c r="C1619" t="str">
        <f>"1742"</f>
        <v>1742</v>
      </c>
      <c r="E1619" t="s">
        <v>6107</v>
      </c>
      <c r="F1619" t="s">
        <v>54</v>
      </c>
      <c r="G1619" t="s">
        <v>6108</v>
      </c>
      <c r="H1619" t="s">
        <v>17</v>
      </c>
      <c r="I1619" t="s">
        <v>18</v>
      </c>
      <c r="J1619" t="str">
        <f>"4389360702"</f>
        <v>4389360702</v>
      </c>
      <c r="K1619" t="s">
        <v>6109</v>
      </c>
      <c r="L1619" t="s">
        <v>76</v>
      </c>
      <c r="M1619" t="s">
        <v>21</v>
      </c>
    </row>
    <row r="1620" spans="1:13" x14ac:dyDescent="0.35">
      <c r="A1620" t="str">
        <f>"216-4217"</f>
        <v>216-4217</v>
      </c>
      <c r="B1620" t="s">
        <v>6110</v>
      </c>
      <c r="C1620" t="str">
        <f>"0"</f>
        <v>0</v>
      </c>
      <c r="E1620" t="s">
        <v>6111</v>
      </c>
      <c r="F1620" t="s">
        <v>24</v>
      </c>
      <c r="G1620" t="s">
        <v>6112</v>
      </c>
      <c r="H1620" t="s">
        <v>17</v>
      </c>
      <c r="I1620" t="s">
        <v>18</v>
      </c>
      <c r="J1620" t="str">
        <f>"4382330310"</f>
        <v>4382330310</v>
      </c>
      <c r="K1620" t="s">
        <v>6113</v>
      </c>
      <c r="L1620" t="s">
        <v>2316</v>
      </c>
      <c r="M1620" t="s">
        <v>21</v>
      </c>
    </row>
    <row r="1621" spans="1:13" x14ac:dyDescent="0.35">
      <c r="A1621" t="str">
        <f>"227-3317"</f>
        <v>227-3317</v>
      </c>
      <c r="B1621" t="s">
        <v>6114</v>
      </c>
      <c r="C1621" t="str">
        <f>"12365"</f>
        <v>12365</v>
      </c>
      <c r="D1621" t="str">
        <f>"3"</f>
        <v>3</v>
      </c>
      <c r="E1621" t="s">
        <v>268</v>
      </c>
      <c r="F1621" t="s">
        <v>24</v>
      </c>
      <c r="G1621" t="s">
        <v>6115</v>
      </c>
      <c r="H1621" t="s">
        <v>17</v>
      </c>
      <c r="I1621" t="s">
        <v>18</v>
      </c>
      <c r="J1621" t="str">
        <f>"5144514037"</f>
        <v>5144514037</v>
      </c>
      <c r="K1621" t="s">
        <v>6116</v>
      </c>
      <c r="L1621" t="s">
        <v>86</v>
      </c>
      <c r="M1621" t="s">
        <v>21</v>
      </c>
    </row>
    <row r="1622" spans="1:13" x14ac:dyDescent="0.35">
      <c r="A1622" t="str">
        <f>"228-8075"</f>
        <v>228-8075</v>
      </c>
      <c r="B1622" t="s">
        <v>6117</v>
      </c>
      <c r="C1622" t="str">
        <f>"870"</f>
        <v>870</v>
      </c>
      <c r="D1622" t="str">
        <f>"1"</f>
        <v>1</v>
      </c>
      <c r="E1622" t="s">
        <v>6118</v>
      </c>
      <c r="F1622" t="s">
        <v>24</v>
      </c>
      <c r="G1622" t="s">
        <v>6119</v>
      </c>
      <c r="H1622" t="s">
        <v>17</v>
      </c>
      <c r="I1622" t="s">
        <v>18</v>
      </c>
      <c r="J1622" t="str">
        <f>"4385273803"</f>
        <v>4385273803</v>
      </c>
      <c r="K1622" t="s">
        <v>6120</v>
      </c>
      <c r="L1622" t="s">
        <v>220</v>
      </c>
      <c r="M1622" t="s">
        <v>21</v>
      </c>
    </row>
    <row r="1623" spans="1:13" x14ac:dyDescent="0.35">
      <c r="A1623" t="str">
        <f>"237-1255"</f>
        <v>237-1255</v>
      </c>
      <c r="B1623" t="s">
        <v>6121</v>
      </c>
      <c r="C1623" t="str">
        <f>"4160"</f>
        <v>4160</v>
      </c>
      <c r="E1623" t="s">
        <v>1880</v>
      </c>
      <c r="F1623" t="s">
        <v>24</v>
      </c>
      <c r="G1623" t="s">
        <v>6122</v>
      </c>
      <c r="H1623" t="s">
        <v>17</v>
      </c>
      <c r="I1623" t="s">
        <v>18</v>
      </c>
      <c r="J1623" t="str">
        <f>"4385207934"</f>
        <v>4385207934</v>
      </c>
      <c r="K1623" t="s">
        <v>6123</v>
      </c>
      <c r="L1623" t="s">
        <v>168</v>
      </c>
      <c r="M1623" t="s">
        <v>21</v>
      </c>
    </row>
    <row r="1624" spans="1:13" x14ac:dyDescent="0.35">
      <c r="A1624" t="str">
        <f>"237-5215"</f>
        <v>237-5215</v>
      </c>
      <c r="B1624" t="s">
        <v>6124</v>
      </c>
      <c r="C1624" t="str">
        <f>"300"</f>
        <v>300</v>
      </c>
      <c r="D1624" t="str">
        <f>"502"</f>
        <v>502</v>
      </c>
      <c r="E1624" t="s">
        <v>6125</v>
      </c>
      <c r="F1624" t="s">
        <v>40</v>
      </c>
      <c r="G1624" t="s">
        <v>5324</v>
      </c>
      <c r="H1624" t="s">
        <v>17</v>
      </c>
      <c r="I1624" t="s">
        <v>18</v>
      </c>
      <c r="J1624" t="str">
        <f>"4385274557"</f>
        <v>4385274557</v>
      </c>
      <c r="K1624" t="s">
        <v>6126</v>
      </c>
      <c r="L1624" t="s">
        <v>534</v>
      </c>
      <c r="M1624" t="s">
        <v>21</v>
      </c>
    </row>
    <row r="1625" spans="1:13" x14ac:dyDescent="0.35">
      <c r="A1625" t="str">
        <f>"237-5516"</f>
        <v>237-5516</v>
      </c>
      <c r="B1625" t="s">
        <v>6127</v>
      </c>
      <c r="C1625" t="str">
        <f>"1039"</f>
        <v>1039</v>
      </c>
      <c r="E1625" t="s">
        <v>6128</v>
      </c>
      <c r="F1625" t="s">
        <v>54</v>
      </c>
      <c r="G1625" t="s">
        <v>6129</v>
      </c>
      <c r="H1625" t="s">
        <v>17</v>
      </c>
      <c r="I1625" t="s">
        <v>18</v>
      </c>
      <c r="J1625" t="str">
        <f>"4389214606"</f>
        <v>4389214606</v>
      </c>
      <c r="K1625" t="s">
        <v>6130</v>
      </c>
      <c r="L1625" t="s">
        <v>168</v>
      </c>
      <c r="M1625" t="s">
        <v>21</v>
      </c>
    </row>
    <row r="1626" spans="1:13" x14ac:dyDescent="0.35">
      <c r="A1626" t="str">
        <f>"237-6446"</f>
        <v>237-6446</v>
      </c>
      <c r="B1626" t="s">
        <v>6131</v>
      </c>
      <c r="C1626" t="str">
        <f>"12302"</f>
        <v>12302</v>
      </c>
      <c r="D1626" t="str">
        <f>"5"</f>
        <v>5</v>
      </c>
      <c r="E1626" t="s">
        <v>1549</v>
      </c>
      <c r="F1626" t="s">
        <v>24</v>
      </c>
      <c r="G1626" t="s">
        <v>6132</v>
      </c>
      <c r="H1626" t="s">
        <v>17</v>
      </c>
      <c r="I1626" t="s">
        <v>18</v>
      </c>
      <c r="J1626" t="str">
        <f>"4385281009"</f>
        <v>4385281009</v>
      </c>
      <c r="K1626" t="s">
        <v>6133</v>
      </c>
      <c r="L1626" t="s">
        <v>220</v>
      </c>
      <c r="M1626" t="s">
        <v>21</v>
      </c>
    </row>
    <row r="1627" spans="1:13" x14ac:dyDescent="0.35">
      <c r="A1627" t="str">
        <f>"623-7927"</f>
        <v>623-7927</v>
      </c>
      <c r="B1627" t="s">
        <v>6134</v>
      </c>
      <c r="C1627" t="str">
        <f>"9468"</f>
        <v>9468</v>
      </c>
      <c r="D1627" t="str">
        <f>"101"</f>
        <v>101</v>
      </c>
      <c r="E1627" t="s">
        <v>4734</v>
      </c>
      <c r="F1627" t="s">
        <v>24</v>
      </c>
      <c r="G1627" t="s">
        <v>6135</v>
      </c>
      <c r="H1627" t="s">
        <v>17</v>
      </c>
      <c r="I1627" t="s">
        <v>18</v>
      </c>
      <c r="J1627" t="str">
        <f>"4384689201"</f>
        <v>4384689201</v>
      </c>
      <c r="K1627" t="s">
        <v>6136</v>
      </c>
      <c r="L1627" t="s">
        <v>168</v>
      </c>
      <c r="M1627" t="s">
        <v>21</v>
      </c>
    </row>
    <row r="1628" spans="1:13" x14ac:dyDescent="0.35">
      <c r="A1628" t="str">
        <f>"205-0724"</f>
        <v>205-0724</v>
      </c>
      <c r="B1628" t="s">
        <v>6137</v>
      </c>
      <c r="C1628" t="str">
        <f>"41"</f>
        <v>41</v>
      </c>
      <c r="E1628" t="s">
        <v>4726</v>
      </c>
      <c r="F1628" t="s">
        <v>32</v>
      </c>
      <c r="G1628" t="s">
        <v>6138</v>
      </c>
      <c r="H1628" t="s">
        <v>17</v>
      </c>
      <c r="I1628" t="s">
        <v>18</v>
      </c>
      <c r="J1628" t="str">
        <f>"5145836049"</f>
        <v>5145836049</v>
      </c>
      <c r="K1628" t="s">
        <v>6139</v>
      </c>
      <c r="L1628" t="s">
        <v>198</v>
      </c>
      <c r="M1628" t="s">
        <v>21</v>
      </c>
    </row>
    <row r="1629" spans="1:13" x14ac:dyDescent="0.35">
      <c r="A1629" t="str">
        <f>"205-1942"</f>
        <v>205-1942</v>
      </c>
      <c r="B1629" t="s">
        <v>6140</v>
      </c>
      <c r="C1629" t="str">
        <f>"3085"</f>
        <v>3085</v>
      </c>
      <c r="E1629" t="s">
        <v>6141</v>
      </c>
      <c r="F1629" t="s">
        <v>54</v>
      </c>
      <c r="G1629" t="s">
        <v>6142</v>
      </c>
      <c r="H1629" t="s">
        <v>17</v>
      </c>
      <c r="I1629" t="s">
        <v>18</v>
      </c>
      <c r="J1629" t="str">
        <f>"5146388191"</f>
        <v>5146388191</v>
      </c>
      <c r="K1629" t="s">
        <v>6143</v>
      </c>
      <c r="L1629" t="s">
        <v>534</v>
      </c>
      <c r="M1629" t="s">
        <v>21</v>
      </c>
    </row>
    <row r="1630" spans="1:13" x14ac:dyDescent="0.35">
      <c r="A1630" t="str">
        <f>"225-5882"</f>
        <v>225-5882</v>
      </c>
      <c r="B1630" t="s">
        <v>6144</v>
      </c>
      <c r="C1630" t="str">
        <f>"11123"</f>
        <v>11123</v>
      </c>
      <c r="E1630" t="s">
        <v>6145</v>
      </c>
      <c r="F1630" t="s">
        <v>24</v>
      </c>
      <c r="G1630" t="s">
        <v>6146</v>
      </c>
      <c r="H1630" t="s">
        <v>17</v>
      </c>
      <c r="I1630" t="s">
        <v>18</v>
      </c>
      <c r="J1630" t="str">
        <f>"5147961125"</f>
        <v>5147961125</v>
      </c>
      <c r="K1630" t="s">
        <v>6147</v>
      </c>
      <c r="L1630" t="s">
        <v>466</v>
      </c>
      <c r="M1630" t="s">
        <v>21</v>
      </c>
    </row>
    <row r="1631" spans="1:13" x14ac:dyDescent="0.35">
      <c r="A1631" t="str">
        <f>"242-4553"</f>
        <v>242-4553</v>
      </c>
      <c r="B1631" t="s">
        <v>6148</v>
      </c>
      <c r="C1631" t="str">
        <f>"6977"</f>
        <v>6977</v>
      </c>
      <c r="E1631" t="s">
        <v>901</v>
      </c>
      <c r="F1631" t="s">
        <v>24</v>
      </c>
      <c r="G1631" t="s">
        <v>6149</v>
      </c>
      <c r="H1631" t="s">
        <v>17</v>
      </c>
      <c r="I1631" t="s">
        <v>18</v>
      </c>
      <c r="J1631" t="str">
        <f>"5145617275"</f>
        <v>5145617275</v>
      </c>
      <c r="K1631" t="s">
        <v>6150</v>
      </c>
      <c r="L1631" t="s">
        <v>76</v>
      </c>
      <c r="M1631" t="s">
        <v>21</v>
      </c>
    </row>
    <row r="1632" spans="1:13" x14ac:dyDescent="0.35">
      <c r="A1632" t="str">
        <f>"242-4629"</f>
        <v>242-4629</v>
      </c>
      <c r="B1632" t="s">
        <v>6151</v>
      </c>
      <c r="C1632" t="str">
        <f>"1254"</f>
        <v>1254</v>
      </c>
      <c r="D1632" t="str">
        <f>"7"</f>
        <v>7</v>
      </c>
      <c r="E1632" t="s">
        <v>6152</v>
      </c>
      <c r="F1632" t="s">
        <v>54</v>
      </c>
      <c r="G1632" t="s">
        <v>6153</v>
      </c>
      <c r="H1632" t="s">
        <v>17</v>
      </c>
      <c r="I1632" t="s">
        <v>18</v>
      </c>
      <c r="J1632" t="str">
        <f>"8194489181"</f>
        <v>8194489181</v>
      </c>
      <c r="K1632" t="s">
        <v>6154</v>
      </c>
      <c r="L1632" t="s">
        <v>220</v>
      </c>
      <c r="M1632" t="s">
        <v>21</v>
      </c>
    </row>
    <row r="1633" spans="1:13" x14ac:dyDescent="0.35">
      <c r="A1633" t="str">
        <f>"243-8504"</f>
        <v>243-8504</v>
      </c>
      <c r="B1633" t="s">
        <v>6155</v>
      </c>
      <c r="C1633" t="str">
        <f>"7281"</f>
        <v>7281</v>
      </c>
      <c r="E1633" t="s">
        <v>931</v>
      </c>
      <c r="F1633" t="s">
        <v>24</v>
      </c>
      <c r="G1633" t="s">
        <v>6156</v>
      </c>
      <c r="H1633" t="s">
        <v>17</v>
      </c>
      <c r="I1633" t="s">
        <v>18</v>
      </c>
      <c r="J1633" t="str">
        <f>"5145501140"</f>
        <v>5145501140</v>
      </c>
      <c r="K1633" t="s">
        <v>6157</v>
      </c>
      <c r="L1633" t="s">
        <v>86</v>
      </c>
      <c r="M1633" t="s">
        <v>21</v>
      </c>
    </row>
    <row r="1634" spans="1:13" x14ac:dyDescent="0.35">
      <c r="A1634" t="str">
        <f>"244-3672"</f>
        <v>244-3672</v>
      </c>
      <c r="B1634" t="s">
        <v>6158</v>
      </c>
      <c r="C1634" t="str">
        <f>"7944"</f>
        <v>7944</v>
      </c>
      <c r="E1634" t="s">
        <v>5768</v>
      </c>
      <c r="F1634" t="s">
        <v>24</v>
      </c>
      <c r="G1634" t="s">
        <v>3272</v>
      </c>
      <c r="H1634" t="s">
        <v>17</v>
      </c>
      <c r="I1634" t="s">
        <v>18</v>
      </c>
      <c r="J1634" t="str">
        <f>"5143761620"</f>
        <v>5143761620</v>
      </c>
      <c r="K1634" t="s">
        <v>6159</v>
      </c>
      <c r="L1634" t="s">
        <v>76</v>
      </c>
      <c r="M1634" t="s">
        <v>21</v>
      </c>
    </row>
    <row r="1635" spans="1:13" x14ac:dyDescent="0.35">
      <c r="A1635" t="str">
        <f>"244-6363"</f>
        <v>244-6363</v>
      </c>
      <c r="B1635" t="s">
        <v>6160</v>
      </c>
      <c r="C1635" t="str">
        <f>"7655"</f>
        <v>7655</v>
      </c>
      <c r="D1635" t="str">
        <f>"8"</f>
        <v>8</v>
      </c>
      <c r="E1635" t="s">
        <v>6161</v>
      </c>
      <c r="F1635" t="s">
        <v>24</v>
      </c>
      <c r="G1635" t="s">
        <v>6162</v>
      </c>
      <c r="H1635" t="s">
        <v>17</v>
      </c>
      <c r="I1635" t="s">
        <v>18</v>
      </c>
      <c r="J1635" t="str">
        <f>"5142951417"</f>
        <v>5142951417</v>
      </c>
      <c r="K1635" t="s">
        <v>6163</v>
      </c>
      <c r="L1635" t="s">
        <v>76</v>
      </c>
      <c r="M1635" t="s">
        <v>21</v>
      </c>
    </row>
    <row r="1636" spans="1:13" x14ac:dyDescent="0.35">
      <c r="A1636" t="str">
        <f>"619-2878"</f>
        <v>619-2878</v>
      </c>
      <c r="B1636" t="s">
        <v>6164</v>
      </c>
      <c r="C1636" t="str">
        <f>"175"</f>
        <v>175</v>
      </c>
      <c r="E1636" t="s">
        <v>6165</v>
      </c>
      <c r="F1636" t="s">
        <v>6166</v>
      </c>
      <c r="G1636" t="s">
        <v>6167</v>
      </c>
      <c r="H1636" t="s">
        <v>17</v>
      </c>
      <c r="I1636" t="s">
        <v>18</v>
      </c>
      <c r="J1636" t="str">
        <f>"5144319093"</f>
        <v>5144319093</v>
      </c>
      <c r="K1636" t="s">
        <v>6168</v>
      </c>
      <c r="L1636" t="s">
        <v>198</v>
      </c>
      <c r="M1636" t="s">
        <v>21</v>
      </c>
    </row>
    <row r="1637" spans="1:13" x14ac:dyDescent="0.35">
      <c r="A1637" t="str">
        <f>"211-4113"</f>
        <v>211-4113</v>
      </c>
      <c r="B1637" t="s">
        <v>6169</v>
      </c>
      <c r="C1637" t="str">
        <f>"612"</f>
        <v>612</v>
      </c>
      <c r="E1637" t="s">
        <v>4848</v>
      </c>
      <c r="F1637" t="s">
        <v>54</v>
      </c>
      <c r="G1637" t="s">
        <v>6170</v>
      </c>
      <c r="H1637" t="s">
        <v>17</v>
      </c>
      <c r="I1637" t="s">
        <v>18</v>
      </c>
      <c r="J1637" t="str">
        <f>"5145533741"</f>
        <v>5145533741</v>
      </c>
      <c r="K1637" t="s">
        <v>6171</v>
      </c>
      <c r="L1637" t="s">
        <v>869</v>
      </c>
      <c r="M1637" t="s">
        <v>21</v>
      </c>
    </row>
    <row r="1638" spans="1:13" x14ac:dyDescent="0.35">
      <c r="A1638" t="str">
        <f>"212-4464"</f>
        <v>212-4464</v>
      </c>
      <c r="B1638" t="s">
        <v>6172</v>
      </c>
      <c r="C1638" t="str">
        <f>"375"</f>
        <v>375</v>
      </c>
      <c r="D1638" t="str">
        <f>"807"</f>
        <v>807</v>
      </c>
      <c r="E1638" t="s">
        <v>6173</v>
      </c>
      <c r="F1638" t="s">
        <v>24</v>
      </c>
      <c r="G1638" t="s">
        <v>6174</v>
      </c>
      <c r="H1638" t="s">
        <v>17</v>
      </c>
      <c r="I1638" t="s">
        <v>18</v>
      </c>
      <c r="J1638" t="str">
        <f>"4388827775"</f>
        <v>4388827775</v>
      </c>
      <c r="K1638" t="s">
        <v>6175</v>
      </c>
      <c r="L1638" t="s">
        <v>76</v>
      </c>
      <c r="M1638" t="s">
        <v>21</v>
      </c>
    </row>
    <row r="1639" spans="1:13" x14ac:dyDescent="0.35">
      <c r="A1639" t="str">
        <f>"215-3509"</f>
        <v>215-3509</v>
      </c>
      <c r="B1639" t="s">
        <v>6176</v>
      </c>
      <c r="C1639" t="str">
        <f>"2302"</f>
        <v>2302</v>
      </c>
      <c r="E1639" t="s">
        <v>4460</v>
      </c>
      <c r="F1639" t="s">
        <v>24</v>
      </c>
      <c r="G1639" t="s">
        <v>6177</v>
      </c>
      <c r="H1639" t="s">
        <v>17</v>
      </c>
      <c r="I1639" t="s">
        <v>18</v>
      </c>
      <c r="J1639" t="str">
        <f>"4388875956"</f>
        <v>4388875956</v>
      </c>
      <c r="K1639" t="s">
        <v>6178</v>
      </c>
      <c r="L1639" t="s">
        <v>76</v>
      </c>
      <c r="M1639" t="s">
        <v>21</v>
      </c>
    </row>
    <row r="1640" spans="1:13" x14ac:dyDescent="0.35">
      <c r="A1640" t="str">
        <f>"217-7314"</f>
        <v>217-7314</v>
      </c>
      <c r="B1640" t="s">
        <v>6179</v>
      </c>
      <c r="C1640" t="str">
        <f>"3672"</f>
        <v>3672</v>
      </c>
      <c r="E1640" t="s">
        <v>6180</v>
      </c>
      <c r="F1640" t="s">
        <v>24</v>
      </c>
      <c r="G1640" t="s">
        <v>6181</v>
      </c>
      <c r="H1640" t="s">
        <v>17</v>
      </c>
      <c r="I1640" t="s">
        <v>18</v>
      </c>
      <c r="J1640" t="str">
        <f>"5148380910"</f>
        <v>5148380910</v>
      </c>
      <c r="K1640" t="s">
        <v>6182</v>
      </c>
      <c r="L1640" t="s">
        <v>88</v>
      </c>
      <c r="M1640" t="s">
        <v>21</v>
      </c>
    </row>
    <row r="1641" spans="1:13" x14ac:dyDescent="0.35">
      <c r="A1641" t="str">
        <f>"226-9604"</f>
        <v>226-9604</v>
      </c>
      <c r="B1641" t="s">
        <v>6183</v>
      </c>
      <c r="C1641" t="str">
        <f>"6560"</f>
        <v>6560</v>
      </c>
      <c r="D1641" t="str">
        <f>"3"</f>
        <v>3</v>
      </c>
      <c r="E1641" t="s">
        <v>3505</v>
      </c>
      <c r="F1641" t="s">
        <v>24</v>
      </c>
      <c r="G1641" t="s">
        <v>6184</v>
      </c>
      <c r="H1641" t="s">
        <v>17</v>
      </c>
      <c r="I1641" t="s">
        <v>18</v>
      </c>
      <c r="J1641" t="str">
        <f>"5147797275"</f>
        <v>5147797275</v>
      </c>
      <c r="K1641" t="s">
        <v>6185</v>
      </c>
      <c r="L1641" t="s">
        <v>137</v>
      </c>
      <c r="M1641" t="s">
        <v>21</v>
      </c>
    </row>
    <row r="1642" spans="1:13" x14ac:dyDescent="0.35">
      <c r="A1642" t="str">
        <f>"228-6484"</f>
        <v>228-6484</v>
      </c>
      <c r="B1642" t="s">
        <v>6186</v>
      </c>
      <c r="C1642" t="str">
        <f>"8231"</f>
        <v>8231</v>
      </c>
      <c r="D1642" t="str">
        <f>"06"</f>
        <v>06</v>
      </c>
      <c r="E1642" t="s">
        <v>2812</v>
      </c>
      <c r="F1642" t="s">
        <v>24</v>
      </c>
      <c r="G1642" t="s">
        <v>6187</v>
      </c>
      <c r="H1642" t="s">
        <v>17</v>
      </c>
      <c r="I1642" t="s">
        <v>18</v>
      </c>
      <c r="J1642" t="str">
        <f>"5144009660"</f>
        <v>5144009660</v>
      </c>
      <c r="K1642" t="s">
        <v>6188</v>
      </c>
      <c r="L1642" t="s">
        <v>168</v>
      </c>
      <c r="M1642" t="s">
        <v>21</v>
      </c>
    </row>
    <row r="1643" spans="1:13" x14ac:dyDescent="0.35">
      <c r="A1643" t="str">
        <f>"228-7306"</f>
        <v>228-7306</v>
      </c>
      <c r="B1643" t="s">
        <v>6189</v>
      </c>
      <c r="C1643" t="str">
        <f>"6384"</f>
        <v>6384</v>
      </c>
      <c r="E1643" t="s">
        <v>1660</v>
      </c>
      <c r="F1643" t="s">
        <v>24</v>
      </c>
      <c r="G1643" t="s">
        <v>4814</v>
      </c>
      <c r="H1643" t="s">
        <v>17</v>
      </c>
      <c r="I1643" t="s">
        <v>18</v>
      </c>
      <c r="J1643" t="str">
        <f>"4384016483"</f>
        <v>4384016483</v>
      </c>
      <c r="K1643" t="s">
        <v>6190</v>
      </c>
      <c r="L1643" t="s">
        <v>869</v>
      </c>
      <c r="M1643" t="s">
        <v>21</v>
      </c>
    </row>
    <row r="1644" spans="1:13" x14ac:dyDescent="0.35">
      <c r="A1644" t="str">
        <f>"228-7804"</f>
        <v>228-7804</v>
      </c>
      <c r="B1644" t="s">
        <v>6191</v>
      </c>
      <c r="C1644" t="str">
        <f>"1518"</f>
        <v>1518</v>
      </c>
      <c r="D1644" t="str">
        <f>"1518"</f>
        <v>1518</v>
      </c>
      <c r="E1644" t="s">
        <v>6192</v>
      </c>
      <c r="F1644" t="s">
        <v>24</v>
      </c>
      <c r="G1644" t="s">
        <v>6193</v>
      </c>
      <c r="H1644" t="s">
        <v>17</v>
      </c>
      <c r="I1644" t="s">
        <v>18</v>
      </c>
      <c r="J1644" t="str">
        <f>"5146636337"</f>
        <v>5146636337</v>
      </c>
      <c r="K1644" t="s">
        <v>6194</v>
      </c>
      <c r="L1644" t="s">
        <v>86</v>
      </c>
      <c r="M1644" t="s">
        <v>21</v>
      </c>
    </row>
    <row r="1645" spans="1:13" x14ac:dyDescent="0.35">
      <c r="A1645" t="str">
        <f>"242-6063"</f>
        <v>242-6063</v>
      </c>
      <c r="B1645" t="s">
        <v>6195</v>
      </c>
      <c r="C1645" t="str">
        <f>"894"</f>
        <v>894</v>
      </c>
      <c r="E1645" t="s">
        <v>6196</v>
      </c>
      <c r="F1645" t="s">
        <v>3983</v>
      </c>
      <c r="G1645" t="s">
        <v>6197</v>
      </c>
      <c r="H1645" t="s">
        <v>17</v>
      </c>
      <c r="I1645" t="s">
        <v>18</v>
      </c>
      <c r="J1645" t="str">
        <f>"4502754263"</f>
        <v>4502754263</v>
      </c>
      <c r="K1645" t="s">
        <v>6198</v>
      </c>
      <c r="L1645" t="s">
        <v>198</v>
      </c>
      <c r="M1645" t="s">
        <v>21</v>
      </c>
    </row>
    <row r="1646" spans="1:13" x14ac:dyDescent="0.35">
      <c r="A1646" t="str">
        <f>"242-6196"</f>
        <v>242-6196</v>
      </c>
      <c r="B1646" t="s">
        <v>6199</v>
      </c>
      <c r="C1646" t="str">
        <f>"9326"</f>
        <v>9326</v>
      </c>
      <c r="E1646" t="s">
        <v>2096</v>
      </c>
      <c r="F1646" t="s">
        <v>24</v>
      </c>
      <c r="G1646" t="s">
        <v>2097</v>
      </c>
      <c r="H1646" t="s">
        <v>17</v>
      </c>
      <c r="I1646" t="s">
        <v>18</v>
      </c>
      <c r="J1646" t="str">
        <f>"4389789706"</f>
        <v>4389789706</v>
      </c>
      <c r="K1646" t="s">
        <v>6200</v>
      </c>
      <c r="L1646" t="s">
        <v>27</v>
      </c>
      <c r="M1646" t="s">
        <v>21</v>
      </c>
    </row>
    <row r="1647" spans="1:13" x14ac:dyDescent="0.35">
      <c r="A1647" t="str">
        <f>"242-6517"</f>
        <v>242-6517</v>
      </c>
      <c r="B1647" t="s">
        <v>6201</v>
      </c>
      <c r="C1647" t="str">
        <f>"6912"</f>
        <v>6912</v>
      </c>
      <c r="E1647" t="s">
        <v>6202</v>
      </c>
      <c r="F1647" t="s">
        <v>24</v>
      </c>
      <c r="G1647" t="s">
        <v>6203</v>
      </c>
      <c r="H1647" t="s">
        <v>17</v>
      </c>
      <c r="I1647" t="s">
        <v>18</v>
      </c>
      <c r="J1647" t="str">
        <f>"5144168369"</f>
        <v>5144168369</v>
      </c>
      <c r="K1647" t="s">
        <v>6204</v>
      </c>
      <c r="L1647" t="s">
        <v>220</v>
      </c>
      <c r="M1647" t="s">
        <v>21</v>
      </c>
    </row>
    <row r="1648" spans="1:13" x14ac:dyDescent="0.35">
      <c r="A1648" t="str">
        <f>"242-8610"</f>
        <v>242-8610</v>
      </c>
      <c r="B1648" t="s">
        <v>6205</v>
      </c>
      <c r="C1648" t="str">
        <f>"11551"</f>
        <v>11551</v>
      </c>
      <c r="E1648" t="s">
        <v>675</v>
      </c>
      <c r="F1648" t="s">
        <v>24</v>
      </c>
      <c r="G1648" t="s">
        <v>676</v>
      </c>
      <c r="H1648" t="s">
        <v>17</v>
      </c>
      <c r="I1648" t="s">
        <v>18</v>
      </c>
      <c r="J1648" t="str">
        <f>"4389245758"</f>
        <v>4389245758</v>
      </c>
      <c r="K1648" t="s">
        <v>6206</v>
      </c>
      <c r="L1648" t="s">
        <v>86</v>
      </c>
      <c r="M1648" t="s">
        <v>21</v>
      </c>
    </row>
    <row r="1649" spans="1:13" x14ac:dyDescent="0.35">
      <c r="A1649" t="str">
        <f>"203-4360"</f>
        <v>203-4360</v>
      </c>
      <c r="B1649" t="s">
        <v>6207</v>
      </c>
      <c r="C1649" t="str">
        <f>"7159"</f>
        <v>7159</v>
      </c>
      <c r="E1649" t="s">
        <v>4092</v>
      </c>
      <c r="F1649" t="s">
        <v>24</v>
      </c>
      <c r="G1649" t="s">
        <v>6208</v>
      </c>
      <c r="H1649" t="s">
        <v>17</v>
      </c>
      <c r="I1649" t="s">
        <v>18</v>
      </c>
      <c r="J1649" t="str">
        <f>"8193148896"</f>
        <v>8193148896</v>
      </c>
      <c r="K1649" t="s">
        <v>6209</v>
      </c>
      <c r="L1649" t="s">
        <v>869</v>
      </c>
      <c r="M1649" t="s">
        <v>21</v>
      </c>
    </row>
    <row r="1650" spans="1:13" x14ac:dyDescent="0.35">
      <c r="A1650" t="str">
        <f>"203-6485"</f>
        <v>203-6485</v>
      </c>
      <c r="B1650" t="s">
        <v>6210</v>
      </c>
      <c r="C1650" t="str">
        <f>"2325"</f>
        <v>2325</v>
      </c>
      <c r="E1650" t="s">
        <v>6211</v>
      </c>
      <c r="F1650" t="s">
        <v>143</v>
      </c>
      <c r="G1650" t="s">
        <v>6212</v>
      </c>
      <c r="H1650" t="s">
        <v>17</v>
      </c>
      <c r="I1650" t="s">
        <v>18</v>
      </c>
      <c r="J1650" t="str">
        <f>"5142470577"</f>
        <v>5142470577</v>
      </c>
      <c r="K1650" t="s">
        <v>6213</v>
      </c>
      <c r="L1650" t="s">
        <v>220</v>
      </c>
      <c r="M1650" t="s">
        <v>21</v>
      </c>
    </row>
    <row r="1651" spans="1:13" x14ac:dyDescent="0.35">
      <c r="A1651" t="str">
        <f>"236-5390"</f>
        <v>236-5390</v>
      </c>
      <c r="B1651" t="s">
        <v>6214</v>
      </c>
      <c r="C1651" t="str">
        <f>"4345"</f>
        <v>4345</v>
      </c>
      <c r="E1651" t="s">
        <v>6215</v>
      </c>
      <c r="F1651" t="s">
        <v>24</v>
      </c>
      <c r="G1651" t="s">
        <v>6216</v>
      </c>
      <c r="H1651" t="s">
        <v>17</v>
      </c>
      <c r="I1651" t="s">
        <v>18</v>
      </c>
      <c r="J1651" t="str">
        <f>"4388202591"</f>
        <v>4388202591</v>
      </c>
      <c r="K1651" t="s">
        <v>6217</v>
      </c>
      <c r="L1651" t="s">
        <v>534</v>
      </c>
      <c r="M1651" t="s">
        <v>21</v>
      </c>
    </row>
    <row r="1652" spans="1:13" x14ac:dyDescent="0.35">
      <c r="A1652" t="str">
        <f>"236-8820"</f>
        <v>236-8820</v>
      </c>
      <c r="B1652" t="s">
        <v>6218</v>
      </c>
      <c r="C1652" t="str">
        <f>"6989"</f>
        <v>6989</v>
      </c>
      <c r="E1652" t="s">
        <v>6219</v>
      </c>
      <c r="F1652" t="s">
        <v>24</v>
      </c>
      <c r="G1652" t="s">
        <v>6220</v>
      </c>
      <c r="H1652" t="s">
        <v>17</v>
      </c>
      <c r="I1652" t="s">
        <v>18</v>
      </c>
      <c r="J1652" t="str">
        <f>"5144526021"</f>
        <v>5144526021</v>
      </c>
      <c r="K1652" t="s">
        <v>6221</v>
      </c>
      <c r="L1652" t="s">
        <v>76</v>
      </c>
      <c r="M1652" t="s">
        <v>21</v>
      </c>
    </row>
    <row r="1653" spans="1:13" x14ac:dyDescent="0.35">
      <c r="A1653" t="str">
        <f>"243-0255"</f>
        <v>243-0255</v>
      </c>
      <c r="B1653" t="s">
        <v>6222</v>
      </c>
      <c r="C1653" t="str">
        <f>"1433"</f>
        <v>1433</v>
      </c>
      <c r="D1653" t="str">
        <f>"231"</f>
        <v>231</v>
      </c>
      <c r="E1653" t="s">
        <v>6223</v>
      </c>
      <c r="F1653" t="s">
        <v>1554</v>
      </c>
      <c r="G1653" t="s">
        <v>6224</v>
      </c>
      <c r="H1653" t="s">
        <v>17</v>
      </c>
      <c r="I1653" t="s">
        <v>18</v>
      </c>
      <c r="J1653" t="str">
        <f>"4388855213"</f>
        <v>4388855213</v>
      </c>
      <c r="K1653" t="s">
        <v>6225</v>
      </c>
      <c r="L1653" t="s">
        <v>438</v>
      </c>
      <c r="M1653" t="s">
        <v>21</v>
      </c>
    </row>
    <row r="1654" spans="1:13" x14ac:dyDescent="0.35">
      <c r="A1654" t="str">
        <f>"243-0646"</f>
        <v>243-0646</v>
      </c>
      <c r="B1654" t="s">
        <v>6226</v>
      </c>
      <c r="C1654" t="str">
        <f>"775"</f>
        <v>775</v>
      </c>
      <c r="E1654" t="s">
        <v>5837</v>
      </c>
      <c r="F1654" t="s">
        <v>32</v>
      </c>
      <c r="G1654" t="s">
        <v>6227</v>
      </c>
      <c r="H1654" t="s">
        <v>17</v>
      </c>
      <c r="I1654" t="s">
        <v>18</v>
      </c>
      <c r="J1654" t="str">
        <f>"5145945573"</f>
        <v>5145945573</v>
      </c>
      <c r="K1654" t="s">
        <v>6228</v>
      </c>
      <c r="L1654" t="s">
        <v>438</v>
      </c>
      <c r="M1654" t="s">
        <v>21</v>
      </c>
    </row>
    <row r="1655" spans="1:13" x14ac:dyDescent="0.35">
      <c r="A1655" t="str">
        <f>"243-1294"</f>
        <v>243-1294</v>
      </c>
      <c r="B1655" t="s">
        <v>6229</v>
      </c>
      <c r="C1655" t="str">
        <f>"95"</f>
        <v>95</v>
      </c>
      <c r="E1655" t="s">
        <v>6230</v>
      </c>
      <c r="F1655" t="s">
        <v>143</v>
      </c>
      <c r="G1655" t="s">
        <v>6231</v>
      </c>
      <c r="H1655" t="s">
        <v>17</v>
      </c>
      <c r="I1655" t="s">
        <v>18</v>
      </c>
      <c r="J1655" t="str">
        <f>"4384709373"</f>
        <v>4384709373</v>
      </c>
      <c r="K1655" t="s">
        <v>6232</v>
      </c>
      <c r="L1655" t="s">
        <v>220</v>
      </c>
      <c r="M1655" t="s">
        <v>21</v>
      </c>
    </row>
    <row r="1656" spans="1:13" x14ac:dyDescent="0.35">
      <c r="A1656" t="str">
        <f>"243-1326"</f>
        <v>243-1326</v>
      </c>
      <c r="B1656" t="s">
        <v>6233</v>
      </c>
      <c r="C1656" t="str">
        <f>"6296"</f>
        <v>6296</v>
      </c>
      <c r="E1656" t="s">
        <v>6234</v>
      </c>
      <c r="F1656" t="s">
        <v>24</v>
      </c>
      <c r="G1656" t="s">
        <v>6235</v>
      </c>
      <c r="H1656" t="s">
        <v>17</v>
      </c>
      <c r="I1656" t="s">
        <v>18</v>
      </c>
      <c r="J1656" t="str">
        <f>"4387875435"</f>
        <v>4387875435</v>
      </c>
      <c r="K1656" t="s">
        <v>6236</v>
      </c>
      <c r="L1656" t="s">
        <v>76</v>
      </c>
      <c r="M1656" t="s">
        <v>21</v>
      </c>
    </row>
    <row r="1657" spans="1:13" x14ac:dyDescent="0.35">
      <c r="A1657" t="str">
        <f>"243-1446"</f>
        <v>243-1446</v>
      </c>
      <c r="B1657" t="s">
        <v>6237</v>
      </c>
      <c r="C1657" t="str">
        <f>"1945"</f>
        <v>1945</v>
      </c>
      <c r="D1657" t="str">
        <f>"4"</f>
        <v>4</v>
      </c>
      <c r="E1657" t="s">
        <v>6238</v>
      </c>
      <c r="F1657" t="s">
        <v>54</v>
      </c>
      <c r="G1657" t="s">
        <v>6239</v>
      </c>
      <c r="H1657" t="s">
        <v>17</v>
      </c>
      <c r="I1657" t="s">
        <v>18</v>
      </c>
      <c r="J1657" t="str">
        <f>"4386867091"</f>
        <v>4386867091</v>
      </c>
      <c r="K1657" t="s">
        <v>6240</v>
      </c>
      <c r="L1657" t="s">
        <v>86</v>
      </c>
      <c r="M1657" t="s">
        <v>21</v>
      </c>
    </row>
    <row r="1658" spans="1:13" x14ac:dyDescent="0.35">
      <c r="A1658" t="str">
        <f>"197-7012"</f>
        <v>197-7012</v>
      </c>
      <c r="B1658" t="s">
        <v>6241</v>
      </c>
      <c r="C1658" t="str">
        <f>"3395"</f>
        <v>3395</v>
      </c>
      <c r="E1658" t="s">
        <v>6242</v>
      </c>
      <c r="F1658" t="s">
        <v>24</v>
      </c>
      <c r="G1658" t="s">
        <v>6243</v>
      </c>
      <c r="H1658" t="s">
        <v>17</v>
      </c>
      <c r="I1658" t="s">
        <v>18</v>
      </c>
      <c r="J1658" t="str">
        <f>"5149684869"</f>
        <v>5149684869</v>
      </c>
      <c r="K1658" t="s">
        <v>6244</v>
      </c>
      <c r="L1658" t="s">
        <v>27</v>
      </c>
      <c r="M1658" t="s">
        <v>21</v>
      </c>
    </row>
    <row r="1659" spans="1:13" x14ac:dyDescent="0.35">
      <c r="A1659" t="str">
        <f>"206-7871"</f>
        <v>206-7871</v>
      </c>
      <c r="B1659" t="s">
        <v>6245</v>
      </c>
      <c r="C1659" t="str">
        <f>"5395"</f>
        <v>5395</v>
      </c>
      <c r="E1659" t="s">
        <v>6246</v>
      </c>
      <c r="F1659" t="s">
        <v>54</v>
      </c>
      <c r="G1659" t="s">
        <v>6247</v>
      </c>
      <c r="H1659" t="s">
        <v>17</v>
      </c>
      <c r="I1659" t="s">
        <v>18</v>
      </c>
      <c r="J1659" t="str">
        <f>"5144641132"</f>
        <v>5144641132</v>
      </c>
      <c r="K1659" t="s">
        <v>6248</v>
      </c>
      <c r="L1659" t="s">
        <v>137</v>
      </c>
      <c r="M1659" t="s">
        <v>21</v>
      </c>
    </row>
    <row r="1660" spans="1:13" x14ac:dyDescent="0.35">
      <c r="A1660" t="str">
        <f>"207-1915"</f>
        <v>207-1915</v>
      </c>
      <c r="B1660" t="s">
        <v>6249</v>
      </c>
      <c r="C1660" t="str">
        <f>"2935"</f>
        <v>2935</v>
      </c>
      <c r="E1660" t="s">
        <v>926</v>
      </c>
      <c r="F1660" t="s">
        <v>24</v>
      </c>
      <c r="G1660" t="s">
        <v>6250</v>
      </c>
      <c r="H1660" t="s">
        <v>17</v>
      </c>
      <c r="I1660" t="s">
        <v>18</v>
      </c>
      <c r="J1660" t="str">
        <f>"5149653002"</f>
        <v>5149653002</v>
      </c>
      <c r="K1660" t="s">
        <v>6251</v>
      </c>
      <c r="L1660" t="s">
        <v>869</v>
      </c>
      <c r="M1660" t="s">
        <v>21</v>
      </c>
    </row>
    <row r="1661" spans="1:13" x14ac:dyDescent="0.35">
      <c r="A1661" t="str">
        <f>"218-8167"</f>
        <v>218-8167</v>
      </c>
      <c r="B1661" t="s">
        <v>6252</v>
      </c>
      <c r="C1661" t="str">
        <f>"368"</f>
        <v>368</v>
      </c>
      <c r="D1661" t="str">
        <f>"368"</f>
        <v>368</v>
      </c>
      <c r="E1661" t="s">
        <v>6253</v>
      </c>
      <c r="F1661" t="s">
        <v>1506</v>
      </c>
      <c r="G1661" t="s">
        <v>6254</v>
      </c>
      <c r="H1661" t="s">
        <v>17</v>
      </c>
      <c r="I1661" t="s">
        <v>18</v>
      </c>
      <c r="J1661" t="str">
        <f>"5148039272"</f>
        <v>5148039272</v>
      </c>
      <c r="K1661" t="s">
        <v>6255</v>
      </c>
      <c r="L1661" t="s">
        <v>76</v>
      </c>
      <c r="M1661" t="s">
        <v>21</v>
      </c>
    </row>
    <row r="1662" spans="1:13" x14ac:dyDescent="0.35">
      <c r="A1662" t="str">
        <f>"238-5468"</f>
        <v>238-5468</v>
      </c>
      <c r="B1662" t="s">
        <v>6256</v>
      </c>
      <c r="C1662" t="str">
        <f>"7461"</f>
        <v>7461</v>
      </c>
      <c r="D1662" t="str">
        <f>"505"</f>
        <v>505</v>
      </c>
      <c r="E1662" t="s">
        <v>6257</v>
      </c>
      <c r="F1662" t="s">
        <v>2880</v>
      </c>
      <c r="G1662" t="s">
        <v>6258</v>
      </c>
      <c r="H1662" t="s">
        <v>17</v>
      </c>
      <c r="I1662" t="s">
        <v>18</v>
      </c>
      <c r="J1662" t="str">
        <f>"4383649109"</f>
        <v>4383649109</v>
      </c>
      <c r="K1662" t="s">
        <v>6259</v>
      </c>
      <c r="L1662" t="s">
        <v>198</v>
      </c>
      <c r="M1662" t="s">
        <v>21</v>
      </c>
    </row>
    <row r="1663" spans="1:13" x14ac:dyDescent="0.35">
      <c r="A1663" t="str">
        <f>"239-0043"</f>
        <v>239-0043</v>
      </c>
      <c r="B1663" t="s">
        <v>6260</v>
      </c>
      <c r="C1663" t="str">
        <f>"3980"</f>
        <v>3980</v>
      </c>
      <c r="D1663" t="str">
        <f>"102"</f>
        <v>102</v>
      </c>
      <c r="E1663" t="s">
        <v>1966</v>
      </c>
      <c r="F1663" t="s">
        <v>24</v>
      </c>
      <c r="G1663" t="s">
        <v>6261</v>
      </c>
      <c r="H1663" t="s">
        <v>17</v>
      </c>
      <c r="I1663" t="s">
        <v>18</v>
      </c>
      <c r="J1663" t="str">
        <f>"5793726113"</f>
        <v>5793726113</v>
      </c>
      <c r="K1663" t="s">
        <v>6262</v>
      </c>
      <c r="L1663" t="s">
        <v>132</v>
      </c>
      <c r="M1663" t="s">
        <v>21</v>
      </c>
    </row>
    <row r="1664" spans="1:13" x14ac:dyDescent="0.35">
      <c r="A1664" t="str">
        <f>"242-5288"</f>
        <v>242-5288</v>
      </c>
      <c r="B1664" t="s">
        <v>6263</v>
      </c>
      <c r="C1664" t="str">
        <f>"7090"</f>
        <v>7090</v>
      </c>
      <c r="E1664" t="s">
        <v>3027</v>
      </c>
      <c r="F1664" t="s">
        <v>24</v>
      </c>
      <c r="G1664" t="s">
        <v>3028</v>
      </c>
      <c r="H1664" t="s">
        <v>17</v>
      </c>
      <c r="I1664" t="s">
        <v>18</v>
      </c>
      <c r="J1664" t="str">
        <f>"4385233107"</f>
        <v>4385233107</v>
      </c>
      <c r="K1664" t="s">
        <v>6264</v>
      </c>
      <c r="L1664" t="s">
        <v>76</v>
      </c>
      <c r="M1664" t="s">
        <v>21</v>
      </c>
    </row>
    <row r="1665" spans="1:13" x14ac:dyDescent="0.35">
      <c r="A1665" t="str">
        <f>"242-8764"</f>
        <v>242-8764</v>
      </c>
      <c r="B1665" t="s">
        <v>6265</v>
      </c>
      <c r="C1665" t="str">
        <f>"5315"</f>
        <v>5315</v>
      </c>
      <c r="D1665" t="str">
        <f>"201"</f>
        <v>201</v>
      </c>
      <c r="E1665" t="s">
        <v>6266</v>
      </c>
      <c r="F1665" t="s">
        <v>24</v>
      </c>
      <c r="G1665" t="s">
        <v>6267</v>
      </c>
      <c r="H1665" t="s">
        <v>17</v>
      </c>
      <c r="I1665" t="s">
        <v>18</v>
      </c>
      <c r="J1665" t="str">
        <f>"5148940757"</f>
        <v>5148940757</v>
      </c>
      <c r="K1665" t="s">
        <v>6268</v>
      </c>
      <c r="L1665" t="s">
        <v>313</v>
      </c>
      <c r="M1665" t="s">
        <v>21</v>
      </c>
    </row>
    <row r="1666" spans="1:13" x14ac:dyDescent="0.35">
      <c r="A1666" t="str">
        <f>"244-1540"</f>
        <v>244-1540</v>
      </c>
      <c r="B1666" t="s">
        <v>6269</v>
      </c>
      <c r="C1666" t="str">
        <f>"4355"</f>
        <v>4355</v>
      </c>
      <c r="D1666" t="str">
        <f>"17"</f>
        <v>17</v>
      </c>
      <c r="E1666" t="s">
        <v>1780</v>
      </c>
      <c r="F1666" t="s">
        <v>24</v>
      </c>
      <c r="G1666" t="s">
        <v>6270</v>
      </c>
      <c r="H1666" t="s">
        <v>17</v>
      </c>
      <c r="I1666" t="s">
        <v>18</v>
      </c>
      <c r="J1666" t="str">
        <f>"4382293495"</f>
        <v>4382293495</v>
      </c>
      <c r="K1666" t="s">
        <v>6271</v>
      </c>
      <c r="L1666" t="s">
        <v>220</v>
      </c>
      <c r="M1666" t="s">
        <v>21</v>
      </c>
    </row>
    <row r="1667" spans="1:13" x14ac:dyDescent="0.35">
      <c r="A1667" t="str">
        <f>"244-2579"</f>
        <v>244-2579</v>
      </c>
      <c r="B1667" t="s">
        <v>6272</v>
      </c>
      <c r="C1667" t="str">
        <f>"1400"</f>
        <v>1400</v>
      </c>
      <c r="D1667" t="str">
        <f>"16"</f>
        <v>16</v>
      </c>
      <c r="E1667" t="s">
        <v>3317</v>
      </c>
      <c r="F1667" t="s">
        <v>157</v>
      </c>
      <c r="G1667" t="s">
        <v>6273</v>
      </c>
      <c r="H1667" t="s">
        <v>17</v>
      </c>
      <c r="I1667" t="s">
        <v>18</v>
      </c>
      <c r="J1667" t="str">
        <f>"8737880606"</f>
        <v>8737880606</v>
      </c>
      <c r="K1667" t="s">
        <v>6274</v>
      </c>
      <c r="L1667" t="s">
        <v>76</v>
      </c>
      <c r="M1667" t="s">
        <v>21</v>
      </c>
    </row>
    <row r="1668" spans="1:13" x14ac:dyDescent="0.35">
      <c r="A1668" t="str">
        <f>"244-2657"</f>
        <v>244-2657</v>
      </c>
      <c r="B1668" t="s">
        <v>6275</v>
      </c>
      <c r="C1668" t="str">
        <f>"5105"</f>
        <v>5105</v>
      </c>
      <c r="E1668" t="s">
        <v>6276</v>
      </c>
      <c r="F1668" t="s">
        <v>24</v>
      </c>
      <c r="G1668" t="s">
        <v>6277</v>
      </c>
      <c r="H1668" t="s">
        <v>17</v>
      </c>
      <c r="I1668" t="s">
        <v>18</v>
      </c>
      <c r="J1668" t="str">
        <f>"4388673744"</f>
        <v>4388673744</v>
      </c>
      <c r="K1668" t="s">
        <v>6278</v>
      </c>
      <c r="L1668" t="s">
        <v>76</v>
      </c>
      <c r="M1668" t="s">
        <v>21</v>
      </c>
    </row>
    <row r="1669" spans="1:13" x14ac:dyDescent="0.35">
      <c r="A1669" t="str">
        <f>"217-7808"</f>
        <v>217-7808</v>
      </c>
      <c r="B1669" t="s">
        <v>6279</v>
      </c>
      <c r="C1669" t="str">
        <f>"8400"</f>
        <v>8400</v>
      </c>
      <c r="D1669" t="str">
        <f>"24"</f>
        <v>24</v>
      </c>
      <c r="E1669" t="s">
        <v>6280</v>
      </c>
      <c r="F1669" t="s">
        <v>6281</v>
      </c>
      <c r="G1669" t="s">
        <v>6282</v>
      </c>
      <c r="H1669" t="s">
        <v>17</v>
      </c>
      <c r="I1669" t="s">
        <v>18</v>
      </c>
      <c r="J1669" t="str">
        <f>"4389270417"</f>
        <v>4389270417</v>
      </c>
      <c r="K1669" t="s">
        <v>6283</v>
      </c>
      <c r="L1669" t="s">
        <v>874</v>
      </c>
      <c r="M1669" t="s">
        <v>21</v>
      </c>
    </row>
    <row r="1670" spans="1:13" x14ac:dyDescent="0.35">
      <c r="A1670" t="str">
        <f>"225-9168"</f>
        <v>225-9168</v>
      </c>
      <c r="B1670" t="s">
        <v>6284</v>
      </c>
      <c r="C1670" t="str">
        <f>"5955"</f>
        <v>5955</v>
      </c>
      <c r="D1670" t="str">
        <f>"15"</f>
        <v>15</v>
      </c>
      <c r="E1670" t="s">
        <v>485</v>
      </c>
      <c r="F1670" t="s">
        <v>24</v>
      </c>
      <c r="G1670" t="s">
        <v>6285</v>
      </c>
      <c r="H1670" t="s">
        <v>17</v>
      </c>
      <c r="I1670" t="s">
        <v>18</v>
      </c>
      <c r="J1670" t="str">
        <f>"5145810630"</f>
        <v>5145810630</v>
      </c>
      <c r="K1670" t="s">
        <v>6286</v>
      </c>
      <c r="L1670" t="s">
        <v>466</v>
      </c>
      <c r="M1670" t="s">
        <v>21</v>
      </c>
    </row>
    <row r="1671" spans="1:13" x14ac:dyDescent="0.35">
      <c r="A1671" t="str">
        <f>"082-1357"</f>
        <v>082-1357</v>
      </c>
      <c r="B1671" t="s">
        <v>6287</v>
      </c>
      <c r="C1671" t="str">
        <f>"6613"</f>
        <v>6613</v>
      </c>
      <c r="E1671" t="s">
        <v>6288</v>
      </c>
      <c r="F1671" t="s">
        <v>24</v>
      </c>
      <c r="G1671" t="s">
        <v>6289</v>
      </c>
      <c r="H1671" t="s">
        <v>17</v>
      </c>
      <c r="I1671" t="s">
        <v>18</v>
      </c>
      <c r="J1671" t="str">
        <f>"4182622627"</f>
        <v>4182622627</v>
      </c>
      <c r="K1671" t="s">
        <v>6290</v>
      </c>
      <c r="L1671" t="s">
        <v>137</v>
      </c>
      <c r="M1671" t="s">
        <v>21</v>
      </c>
    </row>
    <row r="1672" spans="1:13" x14ac:dyDescent="0.35">
      <c r="A1672" t="str">
        <f>"202-8580"</f>
        <v>202-8580</v>
      </c>
      <c r="B1672" t="s">
        <v>6291</v>
      </c>
      <c r="C1672" t="str">
        <f>"9455"</f>
        <v>9455</v>
      </c>
      <c r="D1672" t="str">
        <f>"4"</f>
        <v>4</v>
      </c>
      <c r="E1672" t="s">
        <v>6292</v>
      </c>
      <c r="F1672" t="s">
        <v>24</v>
      </c>
      <c r="G1672" t="s">
        <v>6293</v>
      </c>
      <c r="H1672" t="s">
        <v>17</v>
      </c>
      <c r="I1672" t="s">
        <v>18</v>
      </c>
      <c r="J1672" t="str">
        <f>"5147952519"</f>
        <v>5147952519</v>
      </c>
      <c r="K1672" t="s">
        <v>6294</v>
      </c>
      <c r="L1672" t="s">
        <v>220</v>
      </c>
      <c r="M1672" t="s">
        <v>21</v>
      </c>
    </row>
    <row r="1673" spans="1:13" x14ac:dyDescent="0.35">
      <c r="A1673" t="str">
        <f>"208-8872"</f>
        <v>208-8872</v>
      </c>
      <c r="B1673" t="s">
        <v>6295</v>
      </c>
      <c r="C1673" t="str">
        <f>"481"</f>
        <v>481</v>
      </c>
      <c r="E1673" t="s">
        <v>6296</v>
      </c>
      <c r="F1673" t="s">
        <v>54</v>
      </c>
      <c r="G1673" t="s">
        <v>6297</v>
      </c>
      <c r="H1673" t="s">
        <v>17</v>
      </c>
      <c r="I1673" t="s">
        <v>18</v>
      </c>
      <c r="J1673" t="str">
        <f>"4506229883"</f>
        <v>4506229883</v>
      </c>
      <c r="K1673" t="s">
        <v>6298</v>
      </c>
      <c r="L1673" t="s">
        <v>168</v>
      </c>
      <c r="M1673" t="s">
        <v>21</v>
      </c>
    </row>
    <row r="1674" spans="1:13" x14ac:dyDescent="0.35">
      <c r="A1674" t="str">
        <f>"210-4340"</f>
        <v>210-4340</v>
      </c>
      <c r="B1674" t="s">
        <v>6299</v>
      </c>
      <c r="C1674" t="str">
        <f>"6887"</f>
        <v>6887</v>
      </c>
      <c r="E1674" t="s">
        <v>1339</v>
      </c>
      <c r="F1674" t="s">
        <v>24</v>
      </c>
      <c r="G1674" t="s">
        <v>6300</v>
      </c>
      <c r="H1674" t="s">
        <v>17</v>
      </c>
      <c r="I1674" t="s">
        <v>18</v>
      </c>
      <c r="J1674" t="str">
        <f>"5146905769"</f>
        <v>5146905769</v>
      </c>
      <c r="K1674" t="s">
        <v>6301</v>
      </c>
      <c r="L1674" t="s">
        <v>869</v>
      </c>
      <c r="M1674" t="s">
        <v>21</v>
      </c>
    </row>
    <row r="1675" spans="1:13" x14ac:dyDescent="0.35">
      <c r="A1675" t="str">
        <f>"214-2927"</f>
        <v>214-2927</v>
      </c>
      <c r="B1675" t="s">
        <v>6302</v>
      </c>
      <c r="C1675" t="str">
        <f>"12059"</f>
        <v>12059</v>
      </c>
      <c r="E1675" t="s">
        <v>3930</v>
      </c>
      <c r="F1675" t="s">
        <v>24</v>
      </c>
      <c r="G1675" t="s">
        <v>3931</v>
      </c>
      <c r="H1675" t="s">
        <v>17</v>
      </c>
      <c r="I1675" t="s">
        <v>18</v>
      </c>
      <c r="J1675" t="str">
        <f>"5142243132"</f>
        <v>5142243132</v>
      </c>
      <c r="K1675" t="s">
        <v>6303</v>
      </c>
      <c r="L1675" t="s">
        <v>86</v>
      </c>
      <c r="M1675" t="s">
        <v>21</v>
      </c>
    </row>
    <row r="1676" spans="1:13" x14ac:dyDescent="0.35">
      <c r="A1676" t="str">
        <f>"227-8522"</f>
        <v>227-8522</v>
      </c>
      <c r="B1676" t="s">
        <v>6304</v>
      </c>
      <c r="C1676" t="str">
        <f>"4005"</f>
        <v>4005</v>
      </c>
      <c r="E1676" t="s">
        <v>3857</v>
      </c>
      <c r="F1676" t="s">
        <v>24</v>
      </c>
      <c r="G1676" t="s">
        <v>6305</v>
      </c>
      <c r="H1676" t="s">
        <v>17</v>
      </c>
      <c r="I1676" t="s">
        <v>18</v>
      </c>
      <c r="J1676" t="str">
        <f>"5149800945"</f>
        <v>5149800945</v>
      </c>
      <c r="K1676" t="s">
        <v>6306</v>
      </c>
      <c r="L1676" t="s">
        <v>220</v>
      </c>
      <c r="M1676" t="s">
        <v>21</v>
      </c>
    </row>
    <row r="1677" spans="1:13" x14ac:dyDescent="0.35">
      <c r="A1677" t="str">
        <f>"198-6500"</f>
        <v>198-6500</v>
      </c>
      <c r="B1677" t="s">
        <v>6308</v>
      </c>
      <c r="C1677" t="str">
        <f>"33"</f>
        <v>33</v>
      </c>
      <c r="E1677" t="s">
        <v>6309</v>
      </c>
      <c r="F1677" t="s">
        <v>143</v>
      </c>
      <c r="G1677" t="s">
        <v>3002</v>
      </c>
      <c r="H1677" t="s">
        <v>17</v>
      </c>
      <c r="I1677" t="s">
        <v>18</v>
      </c>
      <c r="J1677" t="str">
        <f>"4382201507"</f>
        <v>4382201507</v>
      </c>
      <c r="K1677" t="s">
        <v>6310</v>
      </c>
      <c r="L1677" t="s">
        <v>220</v>
      </c>
      <c r="M1677" t="s">
        <v>21</v>
      </c>
    </row>
    <row r="1678" spans="1:13" x14ac:dyDescent="0.35">
      <c r="A1678" t="str">
        <f>"243-9805"</f>
        <v>243-9805</v>
      </c>
      <c r="B1678" t="s">
        <v>6311</v>
      </c>
      <c r="C1678" t="str">
        <f>"481"</f>
        <v>481</v>
      </c>
      <c r="E1678" t="s">
        <v>6312</v>
      </c>
      <c r="F1678" t="s">
        <v>1554</v>
      </c>
      <c r="G1678" t="s">
        <v>6313</v>
      </c>
      <c r="H1678" t="s">
        <v>17</v>
      </c>
      <c r="I1678" t="s">
        <v>18</v>
      </c>
      <c r="J1678" t="str">
        <f>"5142584980"</f>
        <v>5142584980</v>
      </c>
      <c r="K1678" t="s">
        <v>6314</v>
      </c>
      <c r="L1678" t="s">
        <v>70</v>
      </c>
      <c r="M1678" t="s">
        <v>21</v>
      </c>
    </row>
    <row r="1679" spans="1:13" x14ac:dyDescent="0.35">
      <c r="A1679" t="str">
        <f>"619-4792"</f>
        <v>619-4792</v>
      </c>
      <c r="B1679" t="s">
        <v>6315</v>
      </c>
      <c r="C1679" t="str">
        <f>"7285"</f>
        <v>7285</v>
      </c>
      <c r="E1679" t="s">
        <v>1635</v>
      </c>
      <c r="F1679" t="s">
        <v>24</v>
      </c>
      <c r="G1679" t="s">
        <v>6316</v>
      </c>
      <c r="H1679" t="s">
        <v>17</v>
      </c>
      <c r="I1679" t="s">
        <v>18</v>
      </c>
      <c r="J1679" t="str">
        <f>"4388306161"</f>
        <v>4388306161</v>
      </c>
      <c r="K1679" t="s">
        <v>6317</v>
      </c>
      <c r="L1679" t="s">
        <v>168</v>
      </c>
      <c r="M1679" t="s">
        <v>21</v>
      </c>
    </row>
    <row r="1680" spans="1:13" x14ac:dyDescent="0.35">
      <c r="A1680" t="str">
        <f>"622-4519"</f>
        <v>622-4519</v>
      </c>
      <c r="B1680" t="s">
        <v>6318</v>
      </c>
      <c r="C1680" t="str">
        <f>"7123"</f>
        <v>7123</v>
      </c>
      <c r="E1680" t="s">
        <v>6319</v>
      </c>
      <c r="F1680" t="s">
        <v>24</v>
      </c>
      <c r="G1680" t="s">
        <v>6320</v>
      </c>
      <c r="H1680" t="s">
        <v>17</v>
      </c>
      <c r="I1680" t="s">
        <v>18</v>
      </c>
      <c r="J1680" t="str">
        <f>"4385277780"</f>
        <v>4385277780</v>
      </c>
      <c r="K1680" t="s">
        <v>6321</v>
      </c>
      <c r="L1680" t="s">
        <v>168</v>
      </c>
      <c r="M1680" t="s">
        <v>21</v>
      </c>
    </row>
    <row r="1681" spans="1:13" x14ac:dyDescent="0.35">
      <c r="A1681" t="str">
        <f>"622-6456"</f>
        <v>622-6456</v>
      </c>
      <c r="B1681" t="s">
        <v>6322</v>
      </c>
      <c r="C1681" t="str">
        <f>"7074"</f>
        <v>7074</v>
      </c>
      <c r="E1681" t="s">
        <v>6323</v>
      </c>
      <c r="F1681" t="s">
        <v>24</v>
      </c>
      <c r="G1681" t="s">
        <v>2520</v>
      </c>
      <c r="H1681" t="s">
        <v>17</v>
      </c>
      <c r="I1681" t="s">
        <v>18</v>
      </c>
      <c r="J1681" t="str">
        <f>"4383905109"</f>
        <v>4383905109</v>
      </c>
      <c r="K1681" t="s">
        <v>6324</v>
      </c>
      <c r="L1681" t="s">
        <v>86</v>
      </c>
      <c r="M1681" t="s">
        <v>21</v>
      </c>
    </row>
    <row r="1682" spans="1:13" x14ac:dyDescent="0.35">
      <c r="A1682" t="str">
        <f>"625-4575"</f>
        <v>625-4575</v>
      </c>
      <c r="B1682" t="s">
        <v>6325</v>
      </c>
      <c r="C1682" t="str">
        <f>"955"</f>
        <v>955</v>
      </c>
      <c r="D1682" t="str">
        <f>"112"</f>
        <v>112</v>
      </c>
      <c r="E1682" t="s">
        <v>6326</v>
      </c>
      <c r="F1682" t="s">
        <v>24</v>
      </c>
      <c r="G1682" t="s">
        <v>6327</v>
      </c>
      <c r="H1682" t="s">
        <v>17</v>
      </c>
      <c r="I1682" t="s">
        <v>18</v>
      </c>
      <c r="J1682" t="str">
        <f>"5149637106"</f>
        <v>5149637106</v>
      </c>
      <c r="K1682" t="s">
        <v>6328</v>
      </c>
      <c r="L1682" t="s">
        <v>220</v>
      </c>
      <c r="M1682" t="s">
        <v>21</v>
      </c>
    </row>
    <row r="1683" spans="1:13" x14ac:dyDescent="0.35">
      <c r="A1683" t="str">
        <f>"244-3482"</f>
        <v>244-3482</v>
      </c>
      <c r="B1683" t="s">
        <v>6329</v>
      </c>
      <c r="C1683" t="str">
        <f>"9274"</f>
        <v>9274</v>
      </c>
      <c r="E1683" t="s">
        <v>6330</v>
      </c>
      <c r="F1683" t="s">
        <v>24</v>
      </c>
      <c r="G1683" t="s">
        <v>5728</v>
      </c>
      <c r="H1683" t="s">
        <v>17</v>
      </c>
      <c r="I1683" t="s">
        <v>18</v>
      </c>
      <c r="J1683" t="str">
        <f>"5145191652"</f>
        <v>5145191652</v>
      </c>
      <c r="K1683" t="s">
        <v>6331</v>
      </c>
      <c r="L1683" t="s">
        <v>137</v>
      </c>
      <c r="M1683" t="s">
        <v>21</v>
      </c>
    </row>
    <row r="1684" spans="1:13" x14ac:dyDescent="0.35">
      <c r="A1684" t="str">
        <f>"244-3826"</f>
        <v>244-3826</v>
      </c>
      <c r="B1684" t="s">
        <v>6332</v>
      </c>
      <c r="C1684" t="str">
        <f>"2139"</f>
        <v>2139</v>
      </c>
      <c r="E1684" t="s">
        <v>6333</v>
      </c>
      <c r="F1684" t="s">
        <v>54</v>
      </c>
      <c r="G1684" t="s">
        <v>6334</v>
      </c>
      <c r="H1684" t="s">
        <v>17</v>
      </c>
      <c r="I1684" t="s">
        <v>18</v>
      </c>
      <c r="J1684" t="str">
        <f>"4383363354"</f>
        <v>4383363354</v>
      </c>
      <c r="K1684" t="s">
        <v>6335</v>
      </c>
      <c r="L1684" t="s">
        <v>76</v>
      </c>
      <c r="M1684" t="s">
        <v>21</v>
      </c>
    </row>
    <row r="1685" spans="1:13" x14ac:dyDescent="0.35">
      <c r="A1685" t="str">
        <f>"244-3852"</f>
        <v>244-3852</v>
      </c>
      <c r="B1685" t="s">
        <v>6336</v>
      </c>
      <c r="C1685" t="str">
        <f>"7301"</f>
        <v>7301</v>
      </c>
      <c r="D1685" t="str">
        <f>"103"</f>
        <v>103</v>
      </c>
      <c r="E1685" t="s">
        <v>544</v>
      </c>
      <c r="F1685" t="s">
        <v>24</v>
      </c>
      <c r="G1685" t="s">
        <v>6337</v>
      </c>
      <c r="H1685" t="s">
        <v>17</v>
      </c>
      <c r="I1685" t="s">
        <v>18</v>
      </c>
      <c r="J1685" t="str">
        <f>"4383798606"</f>
        <v>4383798606</v>
      </c>
      <c r="K1685" t="s">
        <v>6338</v>
      </c>
      <c r="L1685" t="s">
        <v>168</v>
      </c>
      <c r="M1685" t="s">
        <v>21</v>
      </c>
    </row>
    <row r="1686" spans="1:13" x14ac:dyDescent="0.35">
      <c r="A1686" t="str">
        <f>"244-3871"</f>
        <v>244-3871</v>
      </c>
      <c r="B1686" t="s">
        <v>6339</v>
      </c>
      <c r="C1686" t="str">
        <f>"8650"</f>
        <v>8650</v>
      </c>
      <c r="D1686" t="str">
        <f>"6"</f>
        <v>6</v>
      </c>
      <c r="E1686" t="s">
        <v>3288</v>
      </c>
      <c r="F1686" t="s">
        <v>24</v>
      </c>
      <c r="G1686" t="s">
        <v>6340</v>
      </c>
      <c r="H1686" t="s">
        <v>17</v>
      </c>
      <c r="I1686" t="s">
        <v>18</v>
      </c>
      <c r="J1686" t="str">
        <f>"5144678085"</f>
        <v>5144678085</v>
      </c>
      <c r="K1686" t="s">
        <v>6341</v>
      </c>
      <c r="L1686" t="s">
        <v>86</v>
      </c>
      <c r="M1686" t="s">
        <v>21</v>
      </c>
    </row>
    <row r="1687" spans="1:13" x14ac:dyDescent="0.35">
      <c r="A1687" t="str">
        <f>"244-4053"</f>
        <v>244-4053</v>
      </c>
      <c r="B1687" t="s">
        <v>6342</v>
      </c>
      <c r="C1687" t="str">
        <f>"3469"</f>
        <v>3469</v>
      </c>
      <c r="D1687" t="str">
        <f>"217"</f>
        <v>217</v>
      </c>
      <c r="E1687" t="s">
        <v>455</v>
      </c>
      <c r="F1687" t="s">
        <v>24</v>
      </c>
      <c r="G1687" t="s">
        <v>1097</v>
      </c>
      <c r="H1687" t="s">
        <v>17</v>
      </c>
      <c r="I1687" t="s">
        <v>18</v>
      </c>
      <c r="J1687" t="str">
        <f>"5149266525"</f>
        <v>5149266525</v>
      </c>
      <c r="K1687" t="s">
        <v>6343</v>
      </c>
      <c r="L1687" t="s">
        <v>874</v>
      </c>
      <c r="M1687" t="s">
        <v>21</v>
      </c>
    </row>
    <row r="1688" spans="1:13" x14ac:dyDescent="0.35">
      <c r="A1688" t="str">
        <f>"623-8361"</f>
        <v>623-8361</v>
      </c>
      <c r="B1688" t="s">
        <v>6344</v>
      </c>
      <c r="C1688" t="str">
        <f>"262"</f>
        <v>262</v>
      </c>
      <c r="E1688" t="s">
        <v>6345</v>
      </c>
      <c r="F1688" t="s">
        <v>54</v>
      </c>
      <c r="G1688" t="s">
        <v>6346</v>
      </c>
      <c r="H1688" t="s">
        <v>17</v>
      </c>
      <c r="I1688" t="s">
        <v>18</v>
      </c>
      <c r="J1688" t="str">
        <f>"5148254127"</f>
        <v>5148254127</v>
      </c>
      <c r="K1688" t="s">
        <v>6347</v>
      </c>
      <c r="L1688" t="s">
        <v>76</v>
      </c>
      <c r="M1688" t="s">
        <v>21</v>
      </c>
    </row>
    <row r="1689" spans="1:13" x14ac:dyDescent="0.35">
      <c r="A1689" t="str">
        <f>"133-0055"</f>
        <v>133-0055</v>
      </c>
      <c r="B1689" t="s">
        <v>6348</v>
      </c>
      <c r="C1689" t="str">
        <f>"6916"</f>
        <v>6916</v>
      </c>
      <c r="E1689" t="s">
        <v>200</v>
      </c>
      <c r="F1689" t="s">
        <v>24</v>
      </c>
      <c r="G1689" t="s">
        <v>6349</v>
      </c>
      <c r="H1689" t="s">
        <v>17</v>
      </c>
      <c r="I1689" t="s">
        <v>18</v>
      </c>
      <c r="J1689" t="str">
        <f>"5149919567"</f>
        <v>5149919567</v>
      </c>
      <c r="K1689" t="s">
        <v>6350</v>
      </c>
      <c r="L1689" t="s">
        <v>86</v>
      </c>
      <c r="M1689" t="s">
        <v>21</v>
      </c>
    </row>
    <row r="1690" spans="1:13" x14ac:dyDescent="0.35">
      <c r="A1690" t="str">
        <f>"243-2915"</f>
        <v>243-2915</v>
      </c>
      <c r="B1690" t="s">
        <v>6351</v>
      </c>
      <c r="C1690" t="str">
        <f>"12525"</f>
        <v>12525</v>
      </c>
      <c r="E1690" t="s">
        <v>6352</v>
      </c>
      <c r="F1690" t="s">
        <v>24</v>
      </c>
      <c r="G1690" t="s">
        <v>6353</v>
      </c>
      <c r="H1690" t="s">
        <v>17</v>
      </c>
      <c r="I1690" t="s">
        <v>18</v>
      </c>
      <c r="J1690" t="str">
        <f>"4389851374"</f>
        <v>4389851374</v>
      </c>
      <c r="K1690" t="s">
        <v>6354</v>
      </c>
      <c r="L1690" t="s">
        <v>76</v>
      </c>
      <c r="M1690" t="s">
        <v>21</v>
      </c>
    </row>
    <row r="1691" spans="1:13" x14ac:dyDescent="0.35">
      <c r="A1691" t="str">
        <f>"243-2918"</f>
        <v>243-2918</v>
      </c>
      <c r="B1691" t="s">
        <v>6355</v>
      </c>
      <c r="C1691" t="str">
        <f>"6550"</f>
        <v>6550</v>
      </c>
      <c r="D1691" t="str">
        <f>"1"</f>
        <v>1</v>
      </c>
      <c r="E1691" t="s">
        <v>2809</v>
      </c>
      <c r="F1691" t="s">
        <v>24</v>
      </c>
      <c r="G1691" t="s">
        <v>6356</v>
      </c>
      <c r="H1691" t="s">
        <v>17</v>
      </c>
      <c r="I1691" t="s">
        <v>18</v>
      </c>
      <c r="J1691" t="str">
        <f>"4387630256"</f>
        <v>4387630256</v>
      </c>
      <c r="K1691" t="s">
        <v>6357</v>
      </c>
      <c r="L1691" t="s">
        <v>168</v>
      </c>
      <c r="M1691" t="s">
        <v>21</v>
      </c>
    </row>
    <row r="1692" spans="1:13" x14ac:dyDescent="0.35">
      <c r="A1692" t="str">
        <f>"243-3432"</f>
        <v>243-3432</v>
      </c>
      <c r="B1692" t="s">
        <v>6358</v>
      </c>
      <c r="C1692" t="str">
        <f>"115"</f>
        <v>115</v>
      </c>
      <c r="E1692" t="s">
        <v>6359</v>
      </c>
      <c r="F1692" t="s">
        <v>32</v>
      </c>
      <c r="G1692" t="s">
        <v>6360</v>
      </c>
      <c r="H1692" t="s">
        <v>17</v>
      </c>
      <c r="I1692" t="s">
        <v>18</v>
      </c>
      <c r="J1692" t="str">
        <f>"4388741316"</f>
        <v>4388741316</v>
      </c>
      <c r="K1692" t="s">
        <v>6361</v>
      </c>
      <c r="L1692" t="s">
        <v>70</v>
      </c>
      <c r="M1692" t="s">
        <v>21</v>
      </c>
    </row>
    <row r="1693" spans="1:13" x14ac:dyDescent="0.35">
      <c r="A1693" t="str">
        <f>"625-1034"</f>
        <v>625-1034</v>
      </c>
      <c r="B1693" t="s">
        <v>6362</v>
      </c>
      <c r="C1693" t="str">
        <f>"7400"</f>
        <v>7400</v>
      </c>
      <c r="D1693" t="str">
        <f>"4"</f>
        <v>4</v>
      </c>
      <c r="E1693" t="s">
        <v>949</v>
      </c>
      <c r="F1693" t="s">
        <v>24</v>
      </c>
      <c r="G1693" t="s">
        <v>1739</v>
      </c>
      <c r="H1693" t="s">
        <v>17</v>
      </c>
      <c r="I1693" t="s">
        <v>18</v>
      </c>
      <c r="J1693" t="str">
        <f>"4385258842"</f>
        <v>4385258842</v>
      </c>
      <c r="K1693" t="s">
        <v>6363</v>
      </c>
      <c r="L1693" t="s">
        <v>76</v>
      </c>
      <c r="M1693" t="s">
        <v>21</v>
      </c>
    </row>
    <row r="1694" spans="1:13" x14ac:dyDescent="0.35">
      <c r="A1694" t="str">
        <f>"625-1289"</f>
        <v>625-1289</v>
      </c>
      <c r="B1694" t="s">
        <v>6364</v>
      </c>
      <c r="C1694" t="str">
        <f>"4980"</f>
        <v>4980</v>
      </c>
      <c r="E1694" t="s">
        <v>6365</v>
      </c>
      <c r="F1694" t="s">
        <v>24</v>
      </c>
      <c r="G1694" t="s">
        <v>6366</v>
      </c>
      <c r="H1694" t="s">
        <v>17</v>
      </c>
      <c r="I1694" t="s">
        <v>18</v>
      </c>
      <c r="J1694" t="str">
        <f>"5146237419"</f>
        <v>5146237419</v>
      </c>
      <c r="K1694" t="s">
        <v>6367</v>
      </c>
      <c r="L1694" t="s">
        <v>466</v>
      </c>
      <c r="M1694" t="s">
        <v>21</v>
      </c>
    </row>
    <row r="1695" spans="1:13" x14ac:dyDescent="0.35">
      <c r="A1695" t="str">
        <f>"625-2218"</f>
        <v>625-2218</v>
      </c>
      <c r="B1695" t="s">
        <v>6368</v>
      </c>
      <c r="C1695" t="str">
        <f>"5637"</f>
        <v>5637</v>
      </c>
      <c r="E1695" t="s">
        <v>6369</v>
      </c>
      <c r="F1695" t="s">
        <v>24</v>
      </c>
      <c r="G1695" t="s">
        <v>6370</v>
      </c>
      <c r="H1695" t="s">
        <v>17</v>
      </c>
      <c r="I1695" t="s">
        <v>18</v>
      </c>
      <c r="J1695" t="str">
        <f>"5142517621"</f>
        <v>5142517621</v>
      </c>
      <c r="K1695" t="s">
        <v>6371</v>
      </c>
      <c r="L1695" t="s">
        <v>168</v>
      </c>
      <c r="M1695" t="s">
        <v>21</v>
      </c>
    </row>
    <row r="1696" spans="1:13" x14ac:dyDescent="0.35">
      <c r="A1696" t="str">
        <f>"242-6281"</f>
        <v>242-6281</v>
      </c>
      <c r="B1696" t="s">
        <v>6372</v>
      </c>
      <c r="C1696" t="str">
        <f>"684"</f>
        <v>684</v>
      </c>
      <c r="E1696" t="s">
        <v>3910</v>
      </c>
      <c r="F1696" t="s">
        <v>24</v>
      </c>
      <c r="G1696" t="s">
        <v>6373</v>
      </c>
      <c r="H1696" t="s">
        <v>17</v>
      </c>
      <c r="I1696" t="s">
        <v>18</v>
      </c>
      <c r="J1696" t="str">
        <f>"4384986152"</f>
        <v>4384986152</v>
      </c>
      <c r="K1696" t="s">
        <v>6374</v>
      </c>
      <c r="L1696" t="s">
        <v>70</v>
      </c>
      <c r="M1696" t="s">
        <v>21</v>
      </c>
    </row>
    <row r="1697" spans="1:13" x14ac:dyDescent="0.35">
      <c r="A1697" t="str">
        <f>"244-3221"</f>
        <v>244-3221</v>
      </c>
      <c r="B1697" t="s">
        <v>6375</v>
      </c>
      <c r="C1697" t="str">
        <f>"512"</f>
        <v>512</v>
      </c>
      <c r="E1697" t="s">
        <v>4433</v>
      </c>
      <c r="F1697" t="s">
        <v>24</v>
      </c>
      <c r="G1697" t="s">
        <v>6376</v>
      </c>
      <c r="H1697" t="s">
        <v>17</v>
      </c>
      <c r="I1697" t="s">
        <v>18</v>
      </c>
      <c r="J1697" t="str">
        <f>"4388875998"</f>
        <v>4388875998</v>
      </c>
      <c r="K1697" t="s">
        <v>6377</v>
      </c>
      <c r="L1697" t="s">
        <v>76</v>
      </c>
      <c r="M1697" t="s">
        <v>21</v>
      </c>
    </row>
    <row r="1698" spans="1:13" x14ac:dyDescent="0.35">
      <c r="A1698" t="str">
        <f>"244-3322"</f>
        <v>244-3322</v>
      </c>
      <c r="B1698" t="s">
        <v>6378</v>
      </c>
      <c r="C1698" t="str">
        <f>"4990"</f>
        <v>4990</v>
      </c>
      <c r="D1698" t="str">
        <f>"5"</f>
        <v>5</v>
      </c>
      <c r="E1698" t="s">
        <v>6379</v>
      </c>
      <c r="F1698" t="s">
        <v>24</v>
      </c>
      <c r="G1698" t="s">
        <v>6380</v>
      </c>
      <c r="H1698" t="s">
        <v>17</v>
      </c>
      <c r="I1698" t="s">
        <v>18</v>
      </c>
      <c r="J1698" t="str">
        <f>"5142505895"</f>
        <v>5142505895</v>
      </c>
      <c r="K1698" t="s">
        <v>6381</v>
      </c>
      <c r="L1698" t="s">
        <v>869</v>
      </c>
      <c r="M1698" t="s">
        <v>21</v>
      </c>
    </row>
    <row r="1699" spans="1:13" x14ac:dyDescent="0.35">
      <c r="A1699" t="str">
        <f>"244-3477"</f>
        <v>244-3477</v>
      </c>
      <c r="B1699" t="s">
        <v>6382</v>
      </c>
      <c r="C1699" t="str">
        <f>"7142"</f>
        <v>7142</v>
      </c>
      <c r="E1699" t="s">
        <v>6383</v>
      </c>
      <c r="F1699" t="s">
        <v>24</v>
      </c>
      <c r="G1699" t="s">
        <v>6384</v>
      </c>
      <c r="H1699" t="s">
        <v>17</v>
      </c>
      <c r="I1699" t="s">
        <v>18</v>
      </c>
      <c r="J1699" t="str">
        <f>"4385091335"</f>
        <v>4385091335</v>
      </c>
      <c r="K1699" t="s">
        <v>6385</v>
      </c>
      <c r="L1699" t="s">
        <v>220</v>
      </c>
      <c r="M1699" t="s">
        <v>21</v>
      </c>
    </row>
    <row r="1700" spans="1:13" x14ac:dyDescent="0.35">
      <c r="A1700" t="str">
        <f>"626-3721"</f>
        <v>626-3721</v>
      </c>
      <c r="B1700" t="s">
        <v>6386</v>
      </c>
      <c r="C1700" t="str">
        <f>"8559"</f>
        <v>8559</v>
      </c>
      <c r="D1700" t="str">
        <f>"1"</f>
        <v>1</v>
      </c>
      <c r="E1700" t="s">
        <v>6387</v>
      </c>
      <c r="F1700" t="s">
        <v>24</v>
      </c>
      <c r="G1700" t="s">
        <v>6388</v>
      </c>
      <c r="H1700" t="s">
        <v>17</v>
      </c>
      <c r="I1700" t="s">
        <v>18</v>
      </c>
      <c r="J1700" t="str">
        <f>"4383686711"</f>
        <v>4383686711</v>
      </c>
      <c r="K1700" t="s">
        <v>6389</v>
      </c>
      <c r="L1700" t="s">
        <v>76</v>
      </c>
      <c r="M1700" t="s">
        <v>21</v>
      </c>
    </row>
    <row r="1701" spans="1:13" x14ac:dyDescent="0.35">
      <c r="A1701" t="str">
        <f>"243-7046"</f>
        <v>243-7046</v>
      </c>
      <c r="B1701" t="s">
        <v>6390</v>
      </c>
      <c r="C1701" t="str">
        <f>"3532"</f>
        <v>3532</v>
      </c>
      <c r="E1701" t="s">
        <v>6391</v>
      </c>
      <c r="F1701" t="s">
        <v>54</v>
      </c>
      <c r="G1701" t="s">
        <v>6392</v>
      </c>
      <c r="H1701" t="s">
        <v>17</v>
      </c>
      <c r="I1701" t="s">
        <v>18</v>
      </c>
      <c r="J1701" t="str">
        <f>"4509375273"</f>
        <v>4509375273</v>
      </c>
      <c r="K1701" t="s">
        <v>6393</v>
      </c>
      <c r="L1701" t="s">
        <v>76</v>
      </c>
      <c r="M1701" t="s">
        <v>21</v>
      </c>
    </row>
    <row r="1702" spans="1:13" x14ac:dyDescent="0.35">
      <c r="A1702" t="str">
        <f>"620-3476"</f>
        <v>620-3476</v>
      </c>
      <c r="B1702" t="s">
        <v>6394</v>
      </c>
      <c r="C1702" t="str">
        <f>"1701"</f>
        <v>1701</v>
      </c>
      <c r="E1702" t="s">
        <v>6395</v>
      </c>
      <c r="F1702" t="s">
        <v>24</v>
      </c>
      <c r="G1702" t="s">
        <v>6396</v>
      </c>
      <c r="H1702" t="s">
        <v>17</v>
      </c>
      <c r="I1702" t="s">
        <v>18</v>
      </c>
      <c r="J1702" t="str">
        <f>"5148123117"</f>
        <v>5148123117</v>
      </c>
      <c r="K1702" t="s">
        <v>6397</v>
      </c>
      <c r="L1702" t="s">
        <v>168</v>
      </c>
      <c r="M1702" t="s">
        <v>21</v>
      </c>
    </row>
    <row r="1703" spans="1:13" x14ac:dyDescent="0.35">
      <c r="A1703" t="str">
        <f>"622-0695"</f>
        <v>622-0695</v>
      </c>
      <c r="B1703" t="s">
        <v>6398</v>
      </c>
      <c r="C1703" t="str">
        <f>"10752"</f>
        <v>10752</v>
      </c>
      <c r="E1703" t="s">
        <v>1396</v>
      </c>
      <c r="F1703" t="s">
        <v>24</v>
      </c>
      <c r="G1703" t="s">
        <v>6399</v>
      </c>
      <c r="H1703" t="s">
        <v>17</v>
      </c>
      <c r="I1703" t="s">
        <v>18</v>
      </c>
      <c r="J1703" t="str">
        <f>"5144764439"</f>
        <v>5144764439</v>
      </c>
      <c r="K1703" t="s">
        <v>6400</v>
      </c>
      <c r="L1703" t="s">
        <v>396</v>
      </c>
      <c r="M1703" t="s">
        <v>21</v>
      </c>
    </row>
    <row r="1704" spans="1:13" x14ac:dyDescent="0.35">
      <c r="A1704" t="str">
        <f>"623-3887"</f>
        <v>623-3887</v>
      </c>
      <c r="B1704" t="s">
        <v>6402</v>
      </c>
      <c r="C1704" t="str">
        <f>"727"</f>
        <v>727</v>
      </c>
      <c r="E1704" t="s">
        <v>751</v>
      </c>
      <c r="F1704" t="s">
        <v>54</v>
      </c>
      <c r="G1704" t="s">
        <v>6403</v>
      </c>
      <c r="H1704" t="s">
        <v>17</v>
      </c>
      <c r="I1704" t="s">
        <v>18</v>
      </c>
      <c r="J1704" t="str">
        <f>"4385061682"</f>
        <v>4385061682</v>
      </c>
      <c r="K1704" t="s">
        <v>6404</v>
      </c>
      <c r="L1704" t="s">
        <v>396</v>
      </c>
      <c r="M1704" t="s">
        <v>21</v>
      </c>
    </row>
    <row r="1705" spans="1:13" x14ac:dyDescent="0.35">
      <c r="A1705" t="str">
        <f>"623-4234"</f>
        <v>623-4234</v>
      </c>
      <c r="B1705" t="s">
        <v>6405</v>
      </c>
      <c r="C1705" t="str">
        <f>"1585"</f>
        <v>1585</v>
      </c>
      <c r="E1705" t="s">
        <v>6406</v>
      </c>
      <c r="F1705" t="s">
        <v>54</v>
      </c>
      <c r="G1705" t="s">
        <v>6407</v>
      </c>
      <c r="H1705" t="s">
        <v>17</v>
      </c>
      <c r="I1705" t="s">
        <v>18</v>
      </c>
      <c r="J1705" t="str">
        <f>"4383777315"</f>
        <v>4383777315</v>
      </c>
      <c r="K1705" t="s">
        <v>6408</v>
      </c>
      <c r="L1705" t="s">
        <v>168</v>
      </c>
      <c r="M1705" t="s">
        <v>21</v>
      </c>
    </row>
    <row r="1706" spans="1:13" x14ac:dyDescent="0.35">
      <c r="A1706" t="str">
        <f>"624-7332"</f>
        <v>624-7332</v>
      </c>
      <c r="B1706" t="s">
        <v>6409</v>
      </c>
      <c r="C1706" t="str">
        <f>"6847"</f>
        <v>6847</v>
      </c>
      <c r="E1706" t="s">
        <v>4092</v>
      </c>
      <c r="F1706" t="s">
        <v>24</v>
      </c>
      <c r="G1706" t="s">
        <v>6410</v>
      </c>
      <c r="H1706" t="s">
        <v>17</v>
      </c>
      <c r="I1706" t="s">
        <v>18</v>
      </c>
      <c r="J1706" t="str">
        <f>"4385191473"</f>
        <v>4385191473</v>
      </c>
      <c r="K1706" t="s">
        <v>6411</v>
      </c>
      <c r="L1706" t="s">
        <v>168</v>
      </c>
      <c r="M1706" t="s">
        <v>21</v>
      </c>
    </row>
    <row r="1707" spans="1:13" x14ac:dyDescent="0.35">
      <c r="A1707" t="str">
        <f>"624-7856"</f>
        <v>624-7856</v>
      </c>
      <c r="B1707" t="s">
        <v>6412</v>
      </c>
      <c r="C1707" t="str">
        <f>"5473"</f>
        <v>5473</v>
      </c>
      <c r="E1707" t="s">
        <v>75</v>
      </c>
      <c r="F1707" t="s">
        <v>24</v>
      </c>
      <c r="G1707" t="s">
        <v>6413</v>
      </c>
      <c r="H1707" t="s">
        <v>17</v>
      </c>
      <c r="I1707" t="s">
        <v>18</v>
      </c>
      <c r="J1707" t="str">
        <f>"5148304629"</f>
        <v>5148304629</v>
      </c>
      <c r="K1707" t="s">
        <v>6414</v>
      </c>
      <c r="L1707" t="s">
        <v>168</v>
      </c>
      <c r="M1707" t="s">
        <v>21</v>
      </c>
    </row>
    <row r="1708" spans="1:13" x14ac:dyDescent="0.35">
      <c r="A1708" t="str">
        <f>"244-6469"</f>
        <v>244-6469</v>
      </c>
      <c r="B1708" t="s">
        <v>6415</v>
      </c>
      <c r="C1708" t="str">
        <f>"11525"</f>
        <v>11525</v>
      </c>
      <c r="D1708" t="str">
        <f>"2"</f>
        <v>2</v>
      </c>
      <c r="E1708" t="s">
        <v>6416</v>
      </c>
      <c r="F1708" t="s">
        <v>24</v>
      </c>
      <c r="G1708" t="s">
        <v>6417</v>
      </c>
      <c r="H1708" t="s">
        <v>17</v>
      </c>
      <c r="I1708" t="s">
        <v>18</v>
      </c>
      <c r="J1708" t="str">
        <f>"5145192765"</f>
        <v>5145192765</v>
      </c>
      <c r="K1708" t="s">
        <v>6418</v>
      </c>
      <c r="L1708" t="s">
        <v>220</v>
      </c>
      <c r="M1708" t="s">
        <v>21</v>
      </c>
    </row>
    <row r="1709" spans="1:13" x14ac:dyDescent="0.35">
      <c r="A1709" t="str">
        <f>"244-6556"</f>
        <v>244-6556</v>
      </c>
      <c r="B1709" t="s">
        <v>6419</v>
      </c>
      <c r="C1709" t="str">
        <f>"319"</f>
        <v>319</v>
      </c>
      <c r="E1709" t="s">
        <v>6420</v>
      </c>
      <c r="F1709" t="s">
        <v>143</v>
      </c>
      <c r="G1709" t="s">
        <v>6421</v>
      </c>
      <c r="H1709" t="s">
        <v>17</v>
      </c>
      <c r="I1709" t="s">
        <v>18</v>
      </c>
      <c r="J1709" t="str">
        <f>"4505859716"</f>
        <v>4505859716</v>
      </c>
      <c r="K1709" t="s">
        <v>6422</v>
      </c>
      <c r="L1709" t="s">
        <v>168</v>
      </c>
      <c r="M1709" t="s">
        <v>21</v>
      </c>
    </row>
    <row r="1710" spans="1:13" x14ac:dyDescent="0.35">
      <c r="A1710" t="str">
        <f>"244-6610"</f>
        <v>244-6610</v>
      </c>
      <c r="B1710" t="s">
        <v>6423</v>
      </c>
      <c r="C1710" t="str">
        <f>"6554"</f>
        <v>6554</v>
      </c>
      <c r="E1710" t="s">
        <v>1780</v>
      </c>
      <c r="F1710" t="s">
        <v>24</v>
      </c>
      <c r="G1710" t="s">
        <v>6424</v>
      </c>
      <c r="H1710" t="s">
        <v>17</v>
      </c>
      <c r="I1710" t="s">
        <v>18</v>
      </c>
      <c r="J1710" t="str">
        <f>"5146038376"</f>
        <v>5146038376</v>
      </c>
      <c r="K1710" t="s">
        <v>6425</v>
      </c>
      <c r="L1710" t="s">
        <v>76</v>
      </c>
      <c r="M1710" t="s">
        <v>21</v>
      </c>
    </row>
    <row r="1711" spans="1:13" x14ac:dyDescent="0.35">
      <c r="A1711" t="str">
        <f>"625-7557"</f>
        <v>625-7557</v>
      </c>
      <c r="B1711" t="s">
        <v>6426</v>
      </c>
      <c r="C1711" t="str">
        <f>"5721"</f>
        <v>5721</v>
      </c>
      <c r="E1711" t="s">
        <v>1315</v>
      </c>
      <c r="F1711" t="s">
        <v>24</v>
      </c>
      <c r="G1711" t="s">
        <v>6427</v>
      </c>
      <c r="H1711" t="s">
        <v>17</v>
      </c>
      <c r="I1711" t="s">
        <v>18</v>
      </c>
      <c r="J1711" t="str">
        <f>"2632889600"</f>
        <v>2632889600</v>
      </c>
      <c r="K1711" t="s">
        <v>6428</v>
      </c>
      <c r="L1711" t="s">
        <v>76</v>
      </c>
      <c r="M1711" t="s">
        <v>21</v>
      </c>
    </row>
    <row r="1712" spans="1:13" x14ac:dyDescent="0.35">
      <c r="A1712" t="str">
        <f>"625-8763"</f>
        <v>625-8763</v>
      </c>
      <c r="B1712" t="s">
        <v>6429</v>
      </c>
      <c r="C1712" t="str">
        <f>"17"</f>
        <v>17</v>
      </c>
      <c r="E1712" t="s">
        <v>6430</v>
      </c>
      <c r="F1712" t="s">
        <v>32</v>
      </c>
      <c r="G1712" t="s">
        <v>6431</v>
      </c>
      <c r="H1712" t="s">
        <v>17</v>
      </c>
      <c r="I1712" t="s">
        <v>18</v>
      </c>
      <c r="J1712" t="str">
        <f>"4388734720"</f>
        <v>4388734720</v>
      </c>
      <c r="K1712" t="s">
        <v>6432</v>
      </c>
      <c r="L1712" t="s">
        <v>220</v>
      </c>
      <c r="M1712" t="s">
        <v>21</v>
      </c>
    </row>
    <row r="1713" spans="1:13" x14ac:dyDescent="0.35">
      <c r="A1713" t="str">
        <f>"626-0918"</f>
        <v>626-0918</v>
      </c>
      <c r="B1713" t="s">
        <v>6433</v>
      </c>
      <c r="C1713" t="str">
        <f>"1695"</f>
        <v>1695</v>
      </c>
      <c r="D1713" t="str">
        <f>"1"</f>
        <v>1</v>
      </c>
      <c r="E1713" t="s">
        <v>6434</v>
      </c>
      <c r="F1713" t="s">
        <v>24</v>
      </c>
      <c r="G1713" t="s">
        <v>6435</v>
      </c>
      <c r="H1713" t="s">
        <v>17</v>
      </c>
      <c r="I1713" t="s">
        <v>18</v>
      </c>
      <c r="J1713" t="str">
        <f>"4389343850"</f>
        <v>4389343850</v>
      </c>
      <c r="K1713" t="s">
        <v>6436</v>
      </c>
      <c r="L1713" t="s">
        <v>168</v>
      </c>
      <c r="M1713" t="s">
        <v>21</v>
      </c>
    </row>
    <row r="1714" spans="1:13" x14ac:dyDescent="0.35">
      <c r="A1714" t="str">
        <f>"235-6099"</f>
        <v>235-6099</v>
      </c>
      <c r="B1714" t="s">
        <v>6437</v>
      </c>
      <c r="C1714" t="str">
        <f>"6722"</f>
        <v>6722</v>
      </c>
      <c r="E1714" t="s">
        <v>642</v>
      </c>
      <c r="F1714" t="s">
        <v>24</v>
      </c>
      <c r="G1714" t="s">
        <v>6438</v>
      </c>
      <c r="H1714" t="s">
        <v>17</v>
      </c>
      <c r="I1714" t="s">
        <v>18</v>
      </c>
      <c r="J1714" t="str">
        <f>"5145610194"</f>
        <v>5145610194</v>
      </c>
      <c r="K1714" t="s">
        <v>6439</v>
      </c>
      <c r="L1714" t="s">
        <v>86</v>
      </c>
      <c r="M1714" t="s">
        <v>21</v>
      </c>
    </row>
    <row r="1715" spans="1:13" x14ac:dyDescent="0.35">
      <c r="A1715" t="str">
        <f>"235-6785"</f>
        <v>235-6785</v>
      </c>
      <c r="B1715" t="s">
        <v>6440</v>
      </c>
      <c r="C1715" t="str">
        <f>"6563"</f>
        <v>6563</v>
      </c>
      <c r="E1715" t="s">
        <v>2639</v>
      </c>
      <c r="F1715" t="s">
        <v>24</v>
      </c>
      <c r="G1715" t="s">
        <v>6441</v>
      </c>
      <c r="H1715" t="s">
        <v>17</v>
      </c>
      <c r="I1715" t="s">
        <v>18</v>
      </c>
      <c r="J1715" t="str">
        <f>"8199810946"</f>
        <v>8199810946</v>
      </c>
      <c r="K1715" t="s">
        <v>6442</v>
      </c>
      <c r="L1715" t="s">
        <v>137</v>
      </c>
      <c r="M1715" t="s">
        <v>21</v>
      </c>
    </row>
    <row r="1716" spans="1:13" x14ac:dyDescent="0.35">
      <c r="A1716" t="str">
        <f>"235-6796"</f>
        <v>235-6796</v>
      </c>
      <c r="B1716" t="s">
        <v>6443</v>
      </c>
      <c r="C1716" t="str">
        <f>"526"</f>
        <v>526</v>
      </c>
      <c r="E1716" t="s">
        <v>6444</v>
      </c>
      <c r="F1716" t="s">
        <v>6445</v>
      </c>
      <c r="G1716" t="s">
        <v>6446</v>
      </c>
      <c r="H1716" t="s">
        <v>17</v>
      </c>
      <c r="I1716" t="s">
        <v>18</v>
      </c>
      <c r="J1716" t="str">
        <f>"4389336803"</f>
        <v>4389336803</v>
      </c>
      <c r="K1716" t="s">
        <v>6447</v>
      </c>
      <c r="L1716" t="s">
        <v>534</v>
      </c>
      <c r="M1716" t="s">
        <v>21</v>
      </c>
    </row>
    <row r="1717" spans="1:13" x14ac:dyDescent="0.35">
      <c r="A1717" t="str">
        <f>"235-7441"</f>
        <v>235-7441</v>
      </c>
      <c r="B1717" t="s">
        <v>6448</v>
      </c>
      <c r="C1717" t="str">
        <f>"641"</f>
        <v>641</v>
      </c>
      <c r="E1717" t="s">
        <v>6449</v>
      </c>
      <c r="F1717" t="s">
        <v>32</v>
      </c>
      <c r="G1717" t="s">
        <v>6450</v>
      </c>
      <c r="H1717" t="s">
        <v>17</v>
      </c>
      <c r="I1717" t="s">
        <v>18</v>
      </c>
      <c r="J1717" t="str">
        <f>"4385805383"</f>
        <v>4385805383</v>
      </c>
      <c r="K1717" t="s">
        <v>6451</v>
      </c>
      <c r="L1717" t="s">
        <v>874</v>
      </c>
      <c r="M1717" t="s">
        <v>21</v>
      </c>
    </row>
    <row r="1718" spans="1:13" x14ac:dyDescent="0.35">
      <c r="A1718" t="str">
        <f>"236-1581"</f>
        <v>236-1581</v>
      </c>
      <c r="B1718" t="s">
        <v>6452</v>
      </c>
      <c r="C1718" t="str">
        <f>"8931"</f>
        <v>8931</v>
      </c>
      <c r="E1718" t="s">
        <v>1204</v>
      </c>
      <c r="F1718" t="s">
        <v>24</v>
      </c>
      <c r="G1718" t="s">
        <v>6453</v>
      </c>
      <c r="H1718" t="s">
        <v>17</v>
      </c>
      <c r="I1718" t="s">
        <v>18</v>
      </c>
      <c r="J1718" t="str">
        <f>"4383795289"</f>
        <v>4383795289</v>
      </c>
      <c r="K1718" t="s">
        <v>6454</v>
      </c>
      <c r="L1718" t="s">
        <v>168</v>
      </c>
      <c r="M1718" t="s">
        <v>21</v>
      </c>
    </row>
    <row r="1719" spans="1:13" x14ac:dyDescent="0.35">
      <c r="A1719" t="str">
        <f>"243-5452"</f>
        <v>243-5452</v>
      </c>
      <c r="B1719" t="s">
        <v>6455</v>
      </c>
      <c r="C1719" t="str">
        <f>"3100"</f>
        <v>3100</v>
      </c>
      <c r="D1719" t="str">
        <f>"243545"</f>
        <v>243545</v>
      </c>
      <c r="E1719" t="s">
        <v>6456</v>
      </c>
      <c r="F1719" t="s">
        <v>322</v>
      </c>
      <c r="G1719" t="s">
        <v>6457</v>
      </c>
      <c r="H1719" t="s">
        <v>17</v>
      </c>
      <c r="I1719" t="s">
        <v>18</v>
      </c>
      <c r="J1719" t="str">
        <f>"5148094090"</f>
        <v>5148094090</v>
      </c>
      <c r="K1719" t="s">
        <v>6458</v>
      </c>
      <c r="L1719" t="s">
        <v>70</v>
      </c>
      <c r="M1719" t="s">
        <v>21</v>
      </c>
    </row>
    <row r="1720" spans="1:13" x14ac:dyDescent="0.35">
      <c r="A1720" t="str">
        <f>"243-6369"</f>
        <v>243-6369</v>
      </c>
      <c r="B1720" t="s">
        <v>6459</v>
      </c>
      <c r="C1720" t="str">
        <f>"5452"</f>
        <v>5452</v>
      </c>
      <c r="D1720" t="str">
        <f>"5452"</f>
        <v>5452</v>
      </c>
      <c r="E1720" t="s">
        <v>6460</v>
      </c>
      <c r="F1720" t="s">
        <v>24</v>
      </c>
      <c r="G1720" t="s">
        <v>5124</v>
      </c>
      <c r="H1720" t="s">
        <v>17</v>
      </c>
      <c r="I1720" t="s">
        <v>18</v>
      </c>
      <c r="J1720" t="str">
        <f>"4388853356"</f>
        <v>4388853356</v>
      </c>
      <c r="K1720" t="s">
        <v>6461</v>
      </c>
      <c r="L1720" t="s">
        <v>396</v>
      </c>
      <c r="M1720" t="s">
        <v>21</v>
      </c>
    </row>
    <row r="1721" spans="1:13" x14ac:dyDescent="0.35">
      <c r="A1721" t="str">
        <f>"243-6119"</f>
        <v>243-6119</v>
      </c>
      <c r="B1721" t="s">
        <v>6462</v>
      </c>
      <c r="C1721" t="str">
        <f>"3940"</f>
        <v>3940</v>
      </c>
      <c r="D1721" t="str">
        <f>"9"</f>
        <v>9</v>
      </c>
      <c r="E1721" t="s">
        <v>125</v>
      </c>
      <c r="F1721" t="s">
        <v>24</v>
      </c>
      <c r="G1721" t="s">
        <v>2381</v>
      </c>
      <c r="H1721" t="s">
        <v>17</v>
      </c>
      <c r="I1721" t="s">
        <v>18</v>
      </c>
      <c r="J1721" t="str">
        <f>"4385026101"</f>
        <v>4385026101</v>
      </c>
      <c r="K1721" t="s">
        <v>6463</v>
      </c>
      <c r="L1721" t="s">
        <v>396</v>
      </c>
      <c r="M1721" t="s">
        <v>21</v>
      </c>
    </row>
    <row r="1722" spans="1:13" x14ac:dyDescent="0.35">
      <c r="A1722" t="str">
        <f>"620-0167"</f>
        <v>620-0167</v>
      </c>
      <c r="B1722" t="s">
        <v>6464</v>
      </c>
      <c r="C1722" t="str">
        <f>"2320"</f>
        <v>2320</v>
      </c>
      <c r="D1722" t="str">
        <f>"2"</f>
        <v>2</v>
      </c>
      <c r="E1722" t="s">
        <v>5368</v>
      </c>
      <c r="F1722" t="s">
        <v>157</v>
      </c>
      <c r="G1722" t="s">
        <v>6465</v>
      </c>
      <c r="H1722" t="s">
        <v>17</v>
      </c>
      <c r="I1722" t="s">
        <v>18</v>
      </c>
      <c r="J1722" t="str">
        <f>"4389284511"</f>
        <v>4389284511</v>
      </c>
      <c r="K1722" t="s">
        <v>6466</v>
      </c>
      <c r="L1722" t="s">
        <v>76</v>
      </c>
      <c r="M1722" t="s">
        <v>21</v>
      </c>
    </row>
    <row r="1723" spans="1:13" x14ac:dyDescent="0.35">
      <c r="A1723" t="str">
        <f>"622-7826"</f>
        <v>622-7826</v>
      </c>
      <c r="B1723" t="s">
        <v>6467</v>
      </c>
      <c r="C1723" t="str">
        <f>"6355"</f>
        <v>6355</v>
      </c>
      <c r="E1723" t="s">
        <v>6468</v>
      </c>
      <c r="F1723" t="s">
        <v>24</v>
      </c>
      <c r="G1723" t="s">
        <v>6469</v>
      </c>
      <c r="H1723" t="s">
        <v>17</v>
      </c>
      <c r="I1723" t="s">
        <v>18</v>
      </c>
      <c r="J1723" t="str">
        <f>"4383403040"</f>
        <v>4383403040</v>
      </c>
      <c r="K1723" t="s">
        <v>6470</v>
      </c>
      <c r="L1723" t="s">
        <v>86</v>
      </c>
      <c r="M1723" t="s">
        <v>21</v>
      </c>
    </row>
    <row r="1724" spans="1:13" x14ac:dyDescent="0.35">
      <c r="A1724" t="str">
        <f>"622-9646"</f>
        <v>622-9646</v>
      </c>
      <c r="B1724" t="s">
        <v>6471</v>
      </c>
      <c r="C1724" t="str">
        <f>"3216"</f>
        <v>3216</v>
      </c>
      <c r="D1724" t="str">
        <f>"3216"</f>
        <v>3216</v>
      </c>
      <c r="E1724" t="s">
        <v>6472</v>
      </c>
      <c r="F1724" t="s">
        <v>54</v>
      </c>
      <c r="G1724" t="s">
        <v>6473</v>
      </c>
      <c r="H1724" t="s">
        <v>17</v>
      </c>
      <c r="I1724" t="s">
        <v>18</v>
      </c>
      <c r="J1724" t="str">
        <f>"4382205230"</f>
        <v>4382205230</v>
      </c>
      <c r="K1724" t="s">
        <v>6474</v>
      </c>
      <c r="L1724" t="s">
        <v>220</v>
      </c>
      <c r="M1724" t="s">
        <v>21</v>
      </c>
    </row>
    <row r="1725" spans="1:13" x14ac:dyDescent="0.35">
      <c r="A1725" t="str">
        <f>"624-5929"</f>
        <v>624-5929</v>
      </c>
      <c r="B1725" t="s">
        <v>6475</v>
      </c>
      <c r="C1725" t="str">
        <f>"1363"</f>
        <v>1363</v>
      </c>
      <c r="E1725" t="s">
        <v>6476</v>
      </c>
      <c r="F1725" t="s">
        <v>32</v>
      </c>
      <c r="G1725" t="s">
        <v>353</v>
      </c>
      <c r="H1725" t="s">
        <v>17</v>
      </c>
      <c r="I1725" t="s">
        <v>18</v>
      </c>
      <c r="J1725" t="str">
        <f>"4389262482"</f>
        <v>4389262482</v>
      </c>
      <c r="K1725" t="s">
        <v>6477</v>
      </c>
      <c r="L1725" t="s">
        <v>86</v>
      </c>
      <c r="M1725" t="s">
        <v>21</v>
      </c>
    </row>
    <row r="1726" spans="1:13" x14ac:dyDescent="0.35">
      <c r="A1726" t="str">
        <f>"193-7667"</f>
        <v>193-7667</v>
      </c>
      <c r="B1726" t="s">
        <v>6478</v>
      </c>
      <c r="C1726" t="str">
        <f>"7102"</f>
        <v>7102</v>
      </c>
      <c r="E1726" t="s">
        <v>6479</v>
      </c>
      <c r="F1726" t="s">
        <v>143</v>
      </c>
      <c r="G1726" t="s">
        <v>6480</v>
      </c>
      <c r="H1726" t="s">
        <v>17</v>
      </c>
      <c r="I1726" t="s">
        <v>18</v>
      </c>
      <c r="J1726" t="str">
        <f>"5147107102"</f>
        <v>5147107102</v>
      </c>
      <c r="K1726" t="s">
        <v>6481</v>
      </c>
      <c r="L1726" t="s">
        <v>1509</v>
      </c>
      <c r="M1726" t="s">
        <v>21</v>
      </c>
    </row>
    <row r="1727" spans="1:13" x14ac:dyDescent="0.35">
      <c r="A1727" t="str">
        <f>"245-0020"</f>
        <v>245-0020</v>
      </c>
      <c r="B1727" t="s">
        <v>6482</v>
      </c>
      <c r="C1727" t="str">
        <f>"4880"</f>
        <v>4880</v>
      </c>
      <c r="D1727" t="str">
        <f>"207"</f>
        <v>207</v>
      </c>
      <c r="E1727" t="s">
        <v>306</v>
      </c>
      <c r="F1727" t="s">
        <v>24</v>
      </c>
      <c r="G1727" t="s">
        <v>3054</v>
      </c>
      <c r="H1727" t="s">
        <v>17</v>
      </c>
      <c r="I1727" t="s">
        <v>18</v>
      </c>
      <c r="J1727" t="str">
        <f>"4389204548"</f>
        <v>4389204548</v>
      </c>
      <c r="K1727" t="s">
        <v>6483</v>
      </c>
      <c r="L1727" t="s">
        <v>1509</v>
      </c>
      <c r="M1727" t="s">
        <v>21</v>
      </c>
    </row>
    <row r="1728" spans="1:13" x14ac:dyDescent="0.35">
      <c r="A1728" t="str">
        <f>"243-7733"</f>
        <v>243-7733</v>
      </c>
      <c r="B1728" t="s">
        <v>6484</v>
      </c>
      <c r="C1728" t="str">
        <f>"3469"</f>
        <v>3469</v>
      </c>
      <c r="D1728" t="str">
        <f>"215"</f>
        <v>215</v>
      </c>
      <c r="E1728" t="s">
        <v>455</v>
      </c>
      <c r="F1728" t="s">
        <v>24</v>
      </c>
      <c r="G1728" t="s">
        <v>1097</v>
      </c>
      <c r="H1728" t="s">
        <v>17</v>
      </c>
      <c r="I1728" t="s">
        <v>18</v>
      </c>
      <c r="J1728" t="str">
        <f>"2633623933"</f>
        <v>2633623933</v>
      </c>
      <c r="K1728" t="s">
        <v>6485</v>
      </c>
      <c r="L1728" t="s">
        <v>168</v>
      </c>
      <c r="M1728" t="s">
        <v>21</v>
      </c>
    </row>
    <row r="1729" spans="1:13" x14ac:dyDescent="0.35">
      <c r="A1729" t="str">
        <f>"245-0004"</f>
        <v>245-0004</v>
      </c>
      <c r="B1729" t="s">
        <v>6486</v>
      </c>
      <c r="C1729" t="str">
        <f>"5240"</f>
        <v>5240</v>
      </c>
      <c r="D1729" t="str">
        <f>"1"</f>
        <v>1</v>
      </c>
      <c r="E1729" t="s">
        <v>6487</v>
      </c>
      <c r="F1729" t="s">
        <v>24</v>
      </c>
      <c r="G1729" t="s">
        <v>6488</v>
      </c>
      <c r="H1729" t="s">
        <v>17</v>
      </c>
      <c r="I1729" t="s">
        <v>18</v>
      </c>
      <c r="J1729" t="str">
        <f>"5142606751"</f>
        <v>5142606751</v>
      </c>
      <c r="K1729" t="s">
        <v>6489</v>
      </c>
      <c r="L1729" t="s">
        <v>1509</v>
      </c>
      <c r="M1729" t="s">
        <v>21</v>
      </c>
    </row>
    <row r="1730" spans="1:13" x14ac:dyDescent="0.35">
      <c r="A1730" t="str">
        <f>"205-3677"</f>
        <v>205-3677</v>
      </c>
      <c r="B1730" t="s">
        <v>6490</v>
      </c>
      <c r="C1730" t="str">
        <f>"4548"</f>
        <v>4548</v>
      </c>
      <c r="D1730" t="str">
        <f>"4548"</f>
        <v>4548</v>
      </c>
      <c r="E1730" t="s">
        <v>6491</v>
      </c>
      <c r="F1730" t="s">
        <v>157</v>
      </c>
      <c r="G1730" t="s">
        <v>6492</v>
      </c>
      <c r="H1730" t="s">
        <v>17</v>
      </c>
      <c r="I1730" t="s">
        <v>18</v>
      </c>
      <c r="J1730" t="str">
        <f>"5147540438"</f>
        <v>5147540438</v>
      </c>
      <c r="K1730" t="s">
        <v>6493</v>
      </c>
      <c r="L1730" t="s">
        <v>168</v>
      </c>
      <c r="M1730" t="s">
        <v>21</v>
      </c>
    </row>
    <row r="1731" spans="1:13" x14ac:dyDescent="0.35">
      <c r="A1731" t="str">
        <f>"214-4462"</f>
        <v>214-4462</v>
      </c>
      <c r="B1731" t="s">
        <v>6494</v>
      </c>
      <c r="C1731" t="str">
        <f>"7328"</f>
        <v>7328</v>
      </c>
      <c r="D1731" t="str">
        <f>"10"</f>
        <v>10</v>
      </c>
      <c r="E1731" t="s">
        <v>417</v>
      </c>
      <c r="F1731" t="s">
        <v>24</v>
      </c>
      <c r="G1731" t="s">
        <v>2119</v>
      </c>
      <c r="H1731" t="s">
        <v>17</v>
      </c>
      <c r="I1731" t="s">
        <v>18</v>
      </c>
      <c r="J1731" t="str">
        <f>"4389790220"</f>
        <v>4389790220</v>
      </c>
      <c r="K1731" t="s">
        <v>6495</v>
      </c>
      <c r="L1731" t="s">
        <v>220</v>
      </c>
      <c r="M1731" t="s">
        <v>21</v>
      </c>
    </row>
    <row r="1732" spans="1:13" x14ac:dyDescent="0.35">
      <c r="A1732" t="str">
        <f>"243-0382"</f>
        <v>243-0382</v>
      </c>
      <c r="B1732" t="s">
        <v>6496</v>
      </c>
      <c r="C1732" t="str">
        <f>"1245"</f>
        <v>1245</v>
      </c>
      <c r="E1732" t="s">
        <v>4380</v>
      </c>
      <c r="F1732" t="s">
        <v>32</v>
      </c>
      <c r="G1732" t="s">
        <v>6497</v>
      </c>
      <c r="H1732" t="s">
        <v>17</v>
      </c>
      <c r="I1732" t="s">
        <v>18</v>
      </c>
      <c r="J1732" t="str">
        <f>"4388365732"</f>
        <v>4388365732</v>
      </c>
      <c r="K1732" t="s">
        <v>6498</v>
      </c>
      <c r="L1732" t="s">
        <v>86</v>
      </c>
      <c r="M1732" t="s">
        <v>21</v>
      </c>
    </row>
    <row r="1733" spans="1:13" x14ac:dyDescent="0.35">
      <c r="A1733" t="str">
        <f>"244-8929"</f>
        <v>244-8929</v>
      </c>
      <c r="B1733" t="s">
        <v>6499</v>
      </c>
      <c r="C1733" t="str">
        <f>"1751"</f>
        <v>1751</v>
      </c>
      <c r="D1733" t="str">
        <f>"2"</f>
        <v>2</v>
      </c>
      <c r="E1733" t="s">
        <v>6500</v>
      </c>
      <c r="F1733" t="s">
        <v>157</v>
      </c>
      <c r="G1733" t="s">
        <v>6501</v>
      </c>
      <c r="H1733" t="s">
        <v>17</v>
      </c>
      <c r="I1733" t="s">
        <v>18</v>
      </c>
      <c r="J1733" t="str">
        <f>"4383642046"</f>
        <v>4383642046</v>
      </c>
      <c r="K1733" t="s">
        <v>6502</v>
      </c>
      <c r="L1733" t="s">
        <v>86</v>
      </c>
      <c r="M1733" t="s">
        <v>21</v>
      </c>
    </row>
    <row r="1734" spans="1:13" x14ac:dyDescent="0.35">
      <c r="A1734" t="str">
        <f>"624-8831"</f>
        <v>624-8831</v>
      </c>
      <c r="B1734" t="s">
        <v>6503</v>
      </c>
      <c r="C1734" t="str">
        <f>"5344"</f>
        <v>5344</v>
      </c>
      <c r="D1734" t="str">
        <f>"11"</f>
        <v>11</v>
      </c>
      <c r="E1734" t="s">
        <v>544</v>
      </c>
      <c r="F1734" t="s">
        <v>24</v>
      </c>
      <c r="G1734" t="s">
        <v>6504</v>
      </c>
      <c r="H1734" t="s">
        <v>17</v>
      </c>
      <c r="I1734" t="s">
        <v>18</v>
      </c>
      <c r="J1734" t="str">
        <f>"4382257708"</f>
        <v>4382257708</v>
      </c>
      <c r="K1734" t="s">
        <v>6505</v>
      </c>
      <c r="L1734" t="s">
        <v>869</v>
      </c>
      <c r="M1734" t="s">
        <v>21</v>
      </c>
    </row>
    <row r="1735" spans="1:13" x14ac:dyDescent="0.35">
      <c r="A1735" t="str">
        <f>"625-1169"</f>
        <v>625-1169</v>
      </c>
      <c r="B1735" t="s">
        <v>6507</v>
      </c>
      <c r="C1735" t="str">
        <f>"1460"</f>
        <v>1460</v>
      </c>
      <c r="E1735" t="s">
        <v>6508</v>
      </c>
      <c r="F1735" t="s">
        <v>54</v>
      </c>
      <c r="G1735" t="s">
        <v>6509</v>
      </c>
      <c r="H1735" t="s">
        <v>17</v>
      </c>
      <c r="I1735" t="s">
        <v>18</v>
      </c>
      <c r="J1735" t="str">
        <f>"5146410324"</f>
        <v>5146410324</v>
      </c>
      <c r="K1735" t="s">
        <v>6510</v>
      </c>
      <c r="L1735" t="s">
        <v>137</v>
      </c>
      <c r="M1735" t="s">
        <v>21</v>
      </c>
    </row>
    <row r="1736" spans="1:13" x14ac:dyDescent="0.35">
      <c r="A1736" t="str">
        <f>"233-0420"</f>
        <v>233-0420</v>
      </c>
      <c r="B1736" t="s">
        <v>6511</v>
      </c>
      <c r="C1736" t="str">
        <f>"6910"</f>
        <v>6910</v>
      </c>
      <c r="D1736" t="str">
        <f>"202"</f>
        <v>202</v>
      </c>
      <c r="E1736" t="s">
        <v>5507</v>
      </c>
      <c r="F1736" t="s">
        <v>24</v>
      </c>
      <c r="G1736" t="s">
        <v>6512</v>
      </c>
      <c r="H1736" t="s">
        <v>17</v>
      </c>
      <c r="I1736" t="s">
        <v>18</v>
      </c>
      <c r="J1736" t="str">
        <f>"5146919677"</f>
        <v>5146919677</v>
      </c>
      <c r="K1736" t="s">
        <v>6513</v>
      </c>
      <c r="L1736" t="s">
        <v>137</v>
      </c>
      <c r="M1736" t="s">
        <v>21</v>
      </c>
    </row>
    <row r="1737" spans="1:13" x14ac:dyDescent="0.35">
      <c r="A1737" t="str">
        <f>"165-4454"</f>
        <v>165-4454</v>
      </c>
      <c r="B1737" t="s">
        <v>6514</v>
      </c>
      <c r="C1737" t="str">
        <f>"109"</f>
        <v>109</v>
      </c>
      <c r="E1737" t="s">
        <v>6515</v>
      </c>
      <c r="F1737" t="s">
        <v>6516</v>
      </c>
      <c r="G1737" t="s">
        <v>6517</v>
      </c>
      <c r="H1737" t="s">
        <v>17</v>
      </c>
      <c r="I1737" t="s">
        <v>18</v>
      </c>
      <c r="J1737" t="str">
        <f>"5144264755"</f>
        <v>5144264755</v>
      </c>
      <c r="K1737" t="s">
        <v>6518</v>
      </c>
      <c r="L1737" t="s">
        <v>220</v>
      </c>
      <c r="M1737" t="s">
        <v>21</v>
      </c>
    </row>
    <row r="1738" spans="1:13" x14ac:dyDescent="0.35">
      <c r="A1738" t="str">
        <f>"178-4846"</f>
        <v>178-4846</v>
      </c>
      <c r="B1738" t="s">
        <v>6519</v>
      </c>
      <c r="C1738" t="str">
        <f>"8145"</f>
        <v>8145</v>
      </c>
      <c r="E1738" t="s">
        <v>6520</v>
      </c>
      <c r="F1738" t="s">
        <v>24</v>
      </c>
      <c r="G1738" t="s">
        <v>6521</v>
      </c>
      <c r="H1738" t="s">
        <v>17</v>
      </c>
      <c r="I1738" t="s">
        <v>18</v>
      </c>
      <c r="J1738" t="str">
        <f>"4383799314"</f>
        <v>4383799314</v>
      </c>
      <c r="K1738" t="s">
        <v>6522</v>
      </c>
      <c r="L1738" t="s">
        <v>203</v>
      </c>
      <c r="M1738" t="s">
        <v>21</v>
      </c>
    </row>
    <row r="1739" spans="1:13" x14ac:dyDescent="0.35">
      <c r="A1739" t="str">
        <f>"207-6122"</f>
        <v>207-6122</v>
      </c>
      <c r="B1739" t="s">
        <v>6523</v>
      </c>
      <c r="C1739" t="str">
        <f>"6611"</f>
        <v>6611</v>
      </c>
      <c r="E1739" t="s">
        <v>1754</v>
      </c>
      <c r="F1739" t="s">
        <v>24</v>
      </c>
      <c r="G1739" t="s">
        <v>1755</v>
      </c>
      <c r="H1739" t="s">
        <v>17</v>
      </c>
      <c r="I1739" t="s">
        <v>18</v>
      </c>
      <c r="J1739" t="str">
        <f>"4386866799"</f>
        <v>4386866799</v>
      </c>
      <c r="K1739" t="s">
        <v>6524</v>
      </c>
      <c r="L1739" t="s">
        <v>76</v>
      </c>
      <c r="M1739" t="s">
        <v>21</v>
      </c>
    </row>
    <row r="1740" spans="1:13" x14ac:dyDescent="0.35">
      <c r="A1740" t="str">
        <f>"207-7644"</f>
        <v>207-7644</v>
      </c>
      <c r="B1740" t="s">
        <v>6525</v>
      </c>
      <c r="C1740" t="str">
        <f>"8413"</f>
        <v>8413</v>
      </c>
      <c r="E1740" t="s">
        <v>6526</v>
      </c>
      <c r="F1740" t="s">
        <v>24</v>
      </c>
      <c r="G1740" t="s">
        <v>6527</v>
      </c>
      <c r="H1740" t="s">
        <v>17</v>
      </c>
      <c r="I1740" t="s">
        <v>18</v>
      </c>
      <c r="J1740" t="str">
        <f>"5143520941"</f>
        <v>5143520941</v>
      </c>
      <c r="K1740" t="s">
        <v>6528</v>
      </c>
      <c r="L1740" t="s">
        <v>193</v>
      </c>
      <c r="M1740" t="s">
        <v>21</v>
      </c>
    </row>
    <row r="1741" spans="1:13" x14ac:dyDescent="0.35">
      <c r="A1741" t="str">
        <f>"227-8515"</f>
        <v>227-8515</v>
      </c>
      <c r="B1741" t="s">
        <v>6529</v>
      </c>
      <c r="C1741" t="str">
        <f>"4"</f>
        <v>4</v>
      </c>
      <c r="E1741" t="s">
        <v>6530</v>
      </c>
      <c r="F1741" t="s">
        <v>6531</v>
      </c>
      <c r="G1741" t="s">
        <v>6532</v>
      </c>
      <c r="H1741" t="s">
        <v>17</v>
      </c>
      <c r="I1741" t="s">
        <v>18</v>
      </c>
      <c r="J1741" t="str">
        <f>"4502981488"</f>
        <v>4502981488</v>
      </c>
      <c r="K1741" t="s">
        <v>6533</v>
      </c>
      <c r="L1741" t="s">
        <v>383</v>
      </c>
      <c r="M1741" t="s">
        <v>21</v>
      </c>
    </row>
    <row r="1742" spans="1:13" x14ac:dyDescent="0.35">
      <c r="A1742" t="str">
        <f>"237-9298"</f>
        <v>237-9298</v>
      </c>
      <c r="B1742" t="s">
        <v>6534</v>
      </c>
      <c r="C1742" t="str">
        <f>"8385"</f>
        <v>8385</v>
      </c>
      <c r="E1742" t="s">
        <v>6535</v>
      </c>
      <c r="F1742" t="s">
        <v>54</v>
      </c>
      <c r="G1742" t="s">
        <v>6536</v>
      </c>
      <c r="H1742" t="s">
        <v>17</v>
      </c>
      <c r="I1742" t="s">
        <v>18</v>
      </c>
      <c r="J1742" t="str">
        <f>"5147019261"</f>
        <v>5147019261</v>
      </c>
      <c r="K1742" t="s">
        <v>6537</v>
      </c>
      <c r="L1742" t="s">
        <v>396</v>
      </c>
      <c r="M1742" t="s">
        <v>21</v>
      </c>
    </row>
    <row r="1743" spans="1:13" x14ac:dyDescent="0.35">
      <c r="A1743" t="str">
        <f>"238-5056"</f>
        <v>238-5056</v>
      </c>
      <c r="B1743" t="s">
        <v>6538</v>
      </c>
      <c r="C1743" t="str">
        <f>"6273"</f>
        <v>6273</v>
      </c>
      <c r="E1743" t="s">
        <v>4629</v>
      </c>
      <c r="F1743" t="s">
        <v>24</v>
      </c>
      <c r="G1743" t="s">
        <v>6539</v>
      </c>
      <c r="H1743" t="s">
        <v>17</v>
      </c>
      <c r="I1743" t="s">
        <v>18</v>
      </c>
      <c r="J1743" t="str">
        <f>"5142763010"</f>
        <v>5142763010</v>
      </c>
      <c r="K1743" t="s">
        <v>6540</v>
      </c>
      <c r="L1743" t="s">
        <v>86</v>
      </c>
      <c r="M1743" t="s">
        <v>21</v>
      </c>
    </row>
    <row r="1744" spans="1:13" x14ac:dyDescent="0.35">
      <c r="A1744" t="str">
        <f>"624-4624"</f>
        <v>624-4624</v>
      </c>
      <c r="B1744" t="s">
        <v>6541</v>
      </c>
      <c r="C1744" t="str">
        <f>"1483"</f>
        <v>1483</v>
      </c>
      <c r="E1744" t="s">
        <v>785</v>
      </c>
      <c r="F1744" t="s">
        <v>24</v>
      </c>
      <c r="G1744" t="s">
        <v>6542</v>
      </c>
      <c r="H1744" t="s">
        <v>17</v>
      </c>
      <c r="I1744" t="s">
        <v>18</v>
      </c>
      <c r="J1744" t="str">
        <f>"4388369841"</f>
        <v>4388369841</v>
      </c>
      <c r="K1744" t="s">
        <v>6543</v>
      </c>
      <c r="L1744" t="s">
        <v>869</v>
      </c>
      <c r="M1744" t="s">
        <v>21</v>
      </c>
    </row>
    <row r="1745" spans="1:13" x14ac:dyDescent="0.35">
      <c r="A1745" t="str">
        <f>"624-5137"</f>
        <v>624-5137</v>
      </c>
      <c r="B1745" t="s">
        <v>6544</v>
      </c>
      <c r="C1745" t="str">
        <f>"4031"</f>
        <v>4031</v>
      </c>
      <c r="E1745" t="s">
        <v>826</v>
      </c>
      <c r="F1745" t="s">
        <v>54</v>
      </c>
      <c r="G1745" t="s">
        <v>6545</v>
      </c>
      <c r="H1745" t="s">
        <v>17</v>
      </c>
      <c r="I1745" t="s">
        <v>18</v>
      </c>
      <c r="J1745" t="str">
        <f>"5147179776"</f>
        <v>5147179776</v>
      </c>
      <c r="K1745" t="s">
        <v>6546</v>
      </c>
      <c r="L1745" t="s">
        <v>137</v>
      </c>
      <c r="M1745" t="s">
        <v>21</v>
      </c>
    </row>
    <row r="1746" spans="1:13" x14ac:dyDescent="0.35">
      <c r="A1746" t="str">
        <f>"193-8137"</f>
        <v>193-8137</v>
      </c>
      <c r="B1746" t="s">
        <v>6547</v>
      </c>
      <c r="C1746" t="str">
        <f>"4210"</f>
        <v>4210</v>
      </c>
      <c r="D1746" t="str">
        <f>"2"</f>
        <v>2</v>
      </c>
      <c r="E1746" t="s">
        <v>6548</v>
      </c>
      <c r="F1746" t="s">
        <v>24</v>
      </c>
      <c r="G1746" t="s">
        <v>6549</v>
      </c>
      <c r="H1746" t="s">
        <v>17</v>
      </c>
      <c r="I1746" t="s">
        <v>18</v>
      </c>
      <c r="J1746" t="str">
        <f>"4389957506"</f>
        <v>4389957506</v>
      </c>
      <c r="K1746" t="s">
        <v>6550</v>
      </c>
      <c r="L1746" t="s">
        <v>203</v>
      </c>
      <c r="M1746" t="s">
        <v>21</v>
      </c>
    </row>
    <row r="1747" spans="1:13" x14ac:dyDescent="0.35">
      <c r="A1747" t="str">
        <f>"194-9581"</f>
        <v>194-9581</v>
      </c>
      <c r="B1747" t="s">
        <v>6551</v>
      </c>
      <c r="C1747" t="str">
        <f>"6367"</f>
        <v>6367</v>
      </c>
      <c r="E1747" t="s">
        <v>147</v>
      </c>
      <c r="F1747" t="s">
        <v>24</v>
      </c>
      <c r="G1747" t="s">
        <v>148</v>
      </c>
      <c r="H1747" t="s">
        <v>17</v>
      </c>
      <c r="I1747" t="s">
        <v>18</v>
      </c>
      <c r="J1747" t="str">
        <f>"4388665571"</f>
        <v>4388665571</v>
      </c>
      <c r="K1747" t="s">
        <v>6552</v>
      </c>
      <c r="L1747" t="s">
        <v>137</v>
      </c>
      <c r="M1747" t="s">
        <v>21</v>
      </c>
    </row>
    <row r="1748" spans="1:13" x14ac:dyDescent="0.35">
      <c r="A1748" t="str">
        <f>"218-4301"</f>
        <v>218-4301</v>
      </c>
      <c r="B1748" t="s">
        <v>6553</v>
      </c>
      <c r="C1748" t="str">
        <f>"170"</f>
        <v>170</v>
      </c>
      <c r="E1748" t="s">
        <v>6554</v>
      </c>
      <c r="F1748" t="s">
        <v>3755</v>
      </c>
      <c r="G1748" t="s">
        <v>6555</v>
      </c>
      <c r="H1748" t="s">
        <v>17</v>
      </c>
      <c r="I1748" t="s">
        <v>18</v>
      </c>
      <c r="J1748" t="str">
        <f>"5147722781"</f>
        <v>5147722781</v>
      </c>
      <c r="K1748" t="s">
        <v>6556</v>
      </c>
      <c r="L1748" t="s">
        <v>86</v>
      </c>
      <c r="M1748" t="s">
        <v>21</v>
      </c>
    </row>
    <row r="1749" spans="1:13" x14ac:dyDescent="0.35">
      <c r="A1749" t="str">
        <f>"218-4737"</f>
        <v>218-4737</v>
      </c>
      <c r="B1749" t="s">
        <v>6557</v>
      </c>
      <c r="C1749" t="str">
        <f>"6831"</f>
        <v>6831</v>
      </c>
      <c r="E1749" t="s">
        <v>6558</v>
      </c>
      <c r="F1749" t="s">
        <v>24</v>
      </c>
      <c r="G1749" t="s">
        <v>6559</v>
      </c>
      <c r="H1749" t="s">
        <v>17</v>
      </c>
      <c r="I1749" t="s">
        <v>18</v>
      </c>
      <c r="J1749" t="str">
        <f>"5147962981"</f>
        <v>5147962981</v>
      </c>
      <c r="K1749" t="s">
        <v>6560</v>
      </c>
      <c r="L1749" t="s">
        <v>396</v>
      </c>
      <c r="M1749" t="s">
        <v>21</v>
      </c>
    </row>
    <row r="1750" spans="1:13" x14ac:dyDescent="0.35">
      <c r="A1750" t="str">
        <f>"229-1695"</f>
        <v>229-1695</v>
      </c>
      <c r="B1750" t="s">
        <v>6561</v>
      </c>
      <c r="C1750" t="str">
        <f>"6500"</f>
        <v>6500</v>
      </c>
      <c r="D1750" t="str">
        <f>"301"</f>
        <v>301</v>
      </c>
      <c r="E1750" t="s">
        <v>5507</v>
      </c>
      <c r="F1750" t="s">
        <v>24</v>
      </c>
      <c r="G1750" t="s">
        <v>1829</v>
      </c>
      <c r="H1750" t="s">
        <v>17</v>
      </c>
      <c r="I1750" t="s">
        <v>18</v>
      </c>
      <c r="J1750" t="str">
        <f>"4389222072"</f>
        <v>4389222072</v>
      </c>
      <c r="K1750" t="s">
        <v>6562</v>
      </c>
      <c r="L1750" t="s">
        <v>869</v>
      </c>
      <c r="M1750" t="s">
        <v>21</v>
      </c>
    </row>
    <row r="1751" spans="1:13" x14ac:dyDescent="0.35">
      <c r="A1751" t="str">
        <f>"229-2326"</f>
        <v>229-2326</v>
      </c>
      <c r="B1751" t="s">
        <v>6563</v>
      </c>
      <c r="C1751" t="str">
        <f>"6351"</f>
        <v>6351</v>
      </c>
      <c r="D1751" t="str">
        <f>"6351"</f>
        <v>6351</v>
      </c>
      <c r="E1751" t="s">
        <v>172</v>
      </c>
      <c r="F1751" t="s">
        <v>24</v>
      </c>
      <c r="G1751" t="s">
        <v>1201</v>
      </c>
      <c r="H1751" t="s">
        <v>17</v>
      </c>
      <c r="I1751" t="s">
        <v>18</v>
      </c>
      <c r="J1751" t="str">
        <f>"4388815702"</f>
        <v>4388815702</v>
      </c>
      <c r="K1751" t="s">
        <v>6564</v>
      </c>
      <c r="L1751" t="s">
        <v>86</v>
      </c>
      <c r="M1751" t="s">
        <v>21</v>
      </c>
    </row>
    <row r="1752" spans="1:13" x14ac:dyDescent="0.35">
      <c r="A1752" t="str">
        <f>"242-8779"</f>
        <v>242-8779</v>
      </c>
      <c r="B1752" t="s">
        <v>6565</v>
      </c>
      <c r="C1752" t="str">
        <f>"1600"</f>
        <v>1600</v>
      </c>
      <c r="D1752" t="str">
        <f>"204"</f>
        <v>204</v>
      </c>
      <c r="E1752" t="s">
        <v>3560</v>
      </c>
      <c r="F1752" t="s">
        <v>24</v>
      </c>
      <c r="G1752" t="s">
        <v>6566</v>
      </c>
      <c r="H1752" t="s">
        <v>17</v>
      </c>
      <c r="I1752" t="s">
        <v>18</v>
      </c>
      <c r="J1752" t="str">
        <f>"5143361648"</f>
        <v>5143361648</v>
      </c>
      <c r="K1752" t="s">
        <v>6567</v>
      </c>
      <c r="L1752" t="s">
        <v>70</v>
      </c>
      <c r="M1752" t="s">
        <v>21</v>
      </c>
    </row>
    <row r="1753" spans="1:13" x14ac:dyDescent="0.35">
      <c r="A1753" t="str">
        <f>"243-7612"</f>
        <v>243-7612</v>
      </c>
      <c r="B1753" t="s">
        <v>6568</v>
      </c>
      <c r="C1753" t="str">
        <f>"6500"</f>
        <v>6500</v>
      </c>
      <c r="E1753" t="s">
        <v>6569</v>
      </c>
      <c r="F1753" t="s">
        <v>24</v>
      </c>
      <c r="G1753" t="s">
        <v>1437</v>
      </c>
      <c r="H1753" t="s">
        <v>17</v>
      </c>
      <c r="I1753" t="s">
        <v>18</v>
      </c>
      <c r="J1753" t="str">
        <f>"5144306159"</f>
        <v>5144306159</v>
      </c>
      <c r="K1753" t="s">
        <v>6570</v>
      </c>
      <c r="L1753" t="s">
        <v>137</v>
      </c>
      <c r="M1753" t="s">
        <v>21</v>
      </c>
    </row>
    <row r="1754" spans="1:13" x14ac:dyDescent="0.35">
      <c r="A1754" t="str">
        <f>"243-7819"</f>
        <v>243-7819</v>
      </c>
      <c r="B1754" t="s">
        <v>6571</v>
      </c>
      <c r="C1754" t="str">
        <f>"11109"</f>
        <v>11109</v>
      </c>
      <c r="D1754" t="str">
        <f>"2"</f>
        <v>2</v>
      </c>
      <c r="E1754" t="s">
        <v>5559</v>
      </c>
      <c r="F1754" t="s">
        <v>24</v>
      </c>
      <c r="G1754" t="s">
        <v>6146</v>
      </c>
      <c r="H1754" t="s">
        <v>17</v>
      </c>
      <c r="I1754" t="s">
        <v>18</v>
      </c>
      <c r="J1754" t="str">
        <f>"4389907710"</f>
        <v>4389907710</v>
      </c>
      <c r="K1754" t="s">
        <v>6572</v>
      </c>
      <c r="L1754" t="s">
        <v>168</v>
      </c>
      <c r="M1754" t="s">
        <v>21</v>
      </c>
    </row>
    <row r="1755" spans="1:13" x14ac:dyDescent="0.35">
      <c r="A1755" t="str">
        <f>"243-8184"</f>
        <v>243-8184</v>
      </c>
      <c r="B1755" t="s">
        <v>6573</v>
      </c>
      <c r="C1755" t="str">
        <f>"6060"</f>
        <v>6060</v>
      </c>
      <c r="D1755" t="str">
        <f>"2"</f>
        <v>2</v>
      </c>
      <c r="E1755" t="s">
        <v>6574</v>
      </c>
      <c r="F1755" t="s">
        <v>24</v>
      </c>
      <c r="G1755" t="s">
        <v>6575</v>
      </c>
      <c r="H1755" t="s">
        <v>17</v>
      </c>
      <c r="I1755" t="s">
        <v>18</v>
      </c>
      <c r="J1755" t="str">
        <f>"4385064904"</f>
        <v>4385064904</v>
      </c>
      <c r="K1755" t="s">
        <v>6576</v>
      </c>
      <c r="L1755" t="s">
        <v>86</v>
      </c>
      <c r="M1755" t="s">
        <v>21</v>
      </c>
    </row>
    <row r="1756" spans="1:13" x14ac:dyDescent="0.35">
      <c r="A1756" t="str">
        <f>"154-8669"</f>
        <v>154-8669</v>
      </c>
      <c r="B1756" t="s">
        <v>6577</v>
      </c>
      <c r="C1756" t="str">
        <f>"3831"</f>
        <v>3831</v>
      </c>
      <c r="E1756" t="s">
        <v>5778</v>
      </c>
      <c r="F1756" t="s">
        <v>54</v>
      </c>
      <c r="G1756" t="s">
        <v>5779</v>
      </c>
      <c r="H1756" t="s">
        <v>17</v>
      </c>
      <c r="I1756" t="s">
        <v>18</v>
      </c>
      <c r="J1756" t="str">
        <f>"4384970307"</f>
        <v>4384970307</v>
      </c>
      <c r="K1756" t="s">
        <v>6578</v>
      </c>
      <c r="L1756" t="s">
        <v>86</v>
      </c>
      <c r="M1756" t="s">
        <v>21</v>
      </c>
    </row>
    <row r="1757" spans="1:13" x14ac:dyDescent="0.35">
      <c r="A1757" t="str">
        <f>"198-0441"</f>
        <v>198-0441</v>
      </c>
      <c r="B1757" t="s">
        <v>6579</v>
      </c>
      <c r="C1757" t="str">
        <f>"290"</f>
        <v>290</v>
      </c>
      <c r="E1757" t="s">
        <v>6580</v>
      </c>
      <c r="F1757" t="s">
        <v>1554</v>
      </c>
      <c r="G1757" t="s">
        <v>6581</v>
      </c>
      <c r="H1757" t="s">
        <v>17</v>
      </c>
      <c r="I1757" t="s">
        <v>18</v>
      </c>
      <c r="J1757" t="str">
        <f>"4384085269"</f>
        <v>4384085269</v>
      </c>
      <c r="K1757" t="s">
        <v>6582</v>
      </c>
      <c r="L1757" t="s">
        <v>220</v>
      </c>
      <c r="M1757" t="s">
        <v>21</v>
      </c>
    </row>
    <row r="1758" spans="1:13" x14ac:dyDescent="0.35">
      <c r="A1758" t="str">
        <f>"203-3000"</f>
        <v>203-3000</v>
      </c>
      <c r="B1758" t="s">
        <v>6583</v>
      </c>
      <c r="C1758" t="str">
        <f>"423"</f>
        <v>423</v>
      </c>
      <c r="E1758" t="s">
        <v>6584</v>
      </c>
      <c r="F1758" t="s">
        <v>54</v>
      </c>
      <c r="G1758" t="s">
        <v>6585</v>
      </c>
      <c r="H1758" t="s">
        <v>17</v>
      </c>
      <c r="I1758" t="s">
        <v>18</v>
      </c>
      <c r="J1758" t="str">
        <f>"4387655949"</f>
        <v>4387655949</v>
      </c>
      <c r="K1758" t="s">
        <v>6586</v>
      </c>
      <c r="L1758" t="s">
        <v>27</v>
      </c>
      <c r="M1758" t="s">
        <v>21</v>
      </c>
    </row>
    <row r="1759" spans="1:13" x14ac:dyDescent="0.35">
      <c r="A1759" t="str">
        <f>"203-7844"</f>
        <v>203-7844</v>
      </c>
      <c r="B1759" t="s">
        <v>6587</v>
      </c>
      <c r="C1759" t="str">
        <f>"4435"</f>
        <v>4435</v>
      </c>
      <c r="D1759" t="str">
        <f>"402"</f>
        <v>402</v>
      </c>
      <c r="E1759" t="s">
        <v>455</v>
      </c>
      <c r="F1759" t="s">
        <v>24</v>
      </c>
      <c r="G1759" t="s">
        <v>6588</v>
      </c>
      <c r="H1759" t="s">
        <v>17</v>
      </c>
      <c r="I1759" t="s">
        <v>18</v>
      </c>
      <c r="J1759" t="str">
        <f>"4385281817"</f>
        <v>4385281817</v>
      </c>
      <c r="K1759" t="s">
        <v>6589</v>
      </c>
      <c r="L1759" t="s">
        <v>168</v>
      </c>
      <c r="M1759" t="s">
        <v>21</v>
      </c>
    </row>
    <row r="1760" spans="1:13" x14ac:dyDescent="0.35">
      <c r="A1760" t="str">
        <f>"216-4594"</f>
        <v>216-4594</v>
      </c>
      <c r="B1760" t="s">
        <v>6590</v>
      </c>
      <c r="C1760" t="str">
        <f>"5972"</f>
        <v>5972</v>
      </c>
      <c r="D1760" t="str">
        <f>"5972"</f>
        <v>5972</v>
      </c>
      <c r="E1760" t="s">
        <v>6591</v>
      </c>
      <c r="F1760" t="s">
        <v>24</v>
      </c>
      <c r="G1760" t="s">
        <v>6592</v>
      </c>
      <c r="H1760" t="s">
        <v>17</v>
      </c>
      <c r="I1760" t="s">
        <v>18</v>
      </c>
      <c r="J1760" t="str">
        <f>"5146389686"</f>
        <v>5146389686</v>
      </c>
      <c r="K1760" t="s">
        <v>6593</v>
      </c>
      <c r="L1760" t="s">
        <v>383</v>
      </c>
      <c r="M1760" t="s">
        <v>21</v>
      </c>
    </row>
    <row r="1761" spans="1:13" x14ac:dyDescent="0.35">
      <c r="A1761" t="str">
        <f>"221-5875"</f>
        <v>221-5875</v>
      </c>
      <c r="B1761" t="s">
        <v>6594</v>
      </c>
      <c r="C1761" t="str">
        <f>"7820"</f>
        <v>7820</v>
      </c>
      <c r="D1761" t="str">
        <f>"06"</f>
        <v>06</v>
      </c>
      <c r="E1761" t="s">
        <v>1892</v>
      </c>
      <c r="F1761" t="s">
        <v>24</v>
      </c>
      <c r="G1761" t="s">
        <v>4045</v>
      </c>
      <c r="H1761" t="s">
        <v>17</v>
      </c>
      <c r="I1761" t="s">
        <v>18</v>
      </c>
      <c r="J1761" t="str">
        <f>"5145498731"</f>
        <v>5145498731</v>
      </c>
      <c r="K1761" t="s">
        <v>6595</v>
      </c>
      <c r="L1761" t="s">
        <v>220</v>
      </c>
      <c r="M1761" t="s">
        <v>21</v>
      </c>
    </row>
    <row r="1762" spans="1:13" x14ac:dyDescent="0.35">
      <c r="A1762" t="str">
        <f>"223-1038"</f>
        <v>223-1038</v>
      </c>
      <c r="B1762" t="s">
        <v>6596</v>
      </c>
      <c r="C1762" t="str">
        <f>"10755"</f>
        <v>10755</v>
      </c>
      <c r="E1762" t="s">
        <v>6597</v>
      </c>
      <c r="F1762" t="s">
        <v>24</v>
      </c>
      <c r="G1762" t="s">
        <v>6598</v>
      </c>
      <c r="H1762" t="s">
        <v>17</v>
      </c>
      <c r="I1762" t="s">
        <v>18</v>
      </c>
      <c r="J1762" t="str">
        <f>"4385238608"</f>
        <v>4385238608</v>
      </c>
      <c r="K1762" t="s">
        <v>6599</v>
      </c>
      <c r="L1762" t="s">
        <v>466</v>
      </c>
      <c r="M1762" t="s">
        <v>21</v>
      </c>
    </row>
    <row r="1763" spans="1:13" x14ac:dyDescent="0.35">
      <c r="A1763" t="str">
        <f>"223-4963"</f>
        <v>223-4963</v>
      </c>
      <c r="B1763" t="s">
        <v>6600</v>
      </c>
      <c r="C1763" t="str">
        <f>"12568"</f>
        <v>12568</v>
      </c>
      <c r="E1763" t="s">
        <v>6601</v>
      </c>
      <c r="F1763" t="s">
        <v>24</v>
      </c>
      <c r="G1763" t="s">
        <v>6602</v>
      </c>
      <c r="H1763" t="s">
        <v>17</v>
      </c>
      <c r="I1763" t="s">
        <v>18</v>
      </c>
      <c r="J1763" t="str">
        <f>"4383459663"</f>
        <v>4383459663</v>
      </c>
      <c r="K1763" t="s">
        <v>6603</v>
      </c>
      <c r="L1763" t="s">
        <v>137</v>
      </c>
      <c r="M1763" t="s">
        <v>21</v>
      </c>
    </row>
    <row r="1764" spans="1:13" x14ac:dyDescent="0.35">
      <c r="A1764" t="str">
        <f>"226-4211"</f>
        <v>226-4211</v>
      </c>
      <c r="B1764" t="s">
        <v>6604</v>
      </c>
      <c r="C1764" t="str">
        <f>"280"</f>
        <v>280</v>
      </c>
      <c r="E1764" t="s">
        <v>6605</v>
      </c>
      <c r="F1764" t="s">
        <v>24</v>
      </c>
      <c r="G1764" t="s">
        <v>6606</v>
      </c>
      <c r="H1764" t="s">
        <v>17</v>
      </c>
      <c r="I1764" t="s">
        <v>18</v>
      </c>
      <c r="J1764" t="str">
        <f>"5145061511"</f>
        <v>5145061511</v>
      </c>
      <c r="K1764" t="s">
        <v>6607</v>
      </c>
      <c r="L1764" t="s">
        <v>869</v>
      </c>
      <c r="M1764" t="s">
        <v>21</v>
      </c>
    </row>
    <row r="1765" spans="1:13" x14ac:dyDescent="0.35">
      <c r="A1765" t="str">
        <f>"244-1223"</f>
        <v>244-1223</v>
      </c>
      <c r="B1765" t="s">
        <v>6608</v>
      </c>
      <c r="C1765" t="str">
        <f>"6060"</f>
        <v>6060</v>
      </c>
      <c r="D1765" t="str">
        <f>"2"</f>
        <v>2</v>
      </c>
      <c r="E1765" t="s">
        <v>6574</v>
      </c>
      <c r="F1765" t="s">
        <v>24</v>
      </c>
      <c r="G1765" t="s">
        <v>6575</v>
      </c>
      <c r="H1765" t="s">
        <v>17</v>
      </c>
      <c r="I1765" t="s">
        <v>18</v>
      </c>
      <c r="J1765" t="str">
        <f>"4385095502"</f>
        <v>4385095502</v>
      </c>
      <c r="K1765" t="s">
        <v>6609</v>
      </c>
      <c r="L1765" t="s">
        <v>86</v>
      </c>
      <c r="M1765" t="s">
        <v>21</v>
      </c>
    </row>
    <row r="1766" spans="1:13" x14ac:dyDescent="0.35">
      <c r="A1766" t="str">
        <f>"244-2103"</f>
        <v>244-2103</v>
      </c>
      <c r="B1766" t="s">
        <v>6610</v>
      </c>
      <c r="C1766" t="str">
        <f>"1256"</f>
        <v>1256</v>
      </c>
      <c r="E1766" t="s">
        <v>6611</v>
      </c>
      <c r="F1766" t="s">
        <v>54</v>
      </c>
      <c r="G1766" t="s">
        <v>6612</v>
      </c>
      <c r="H1766" t="s">
        <v>17</v>
      </c>
      <c r="I1766" t="s">
        <v>18</v>
      </c>
      <c r="J1766" t="str">
        <f>"4385065237"</f>
        <v>4385065237</v>
      </c>
      <c r="K1766" t="s">
        <v>6613</v>
      </c>
      <c r="L1766" t="s">
        <v>70</v>
      </c>
      <c r="M1766" t="s">
        <v>21</v>
      </c>
    </row>
    <row r="1767" spans="1:13" x14ac:dyDescent="0.35">
      <c r="A1767" t="str">
        <f>"207-3530"</f>
        <v>207-3530</v>
      </c>
      <c r="B1767" t="s">
        <v>6614</v>
      </c>
      <c r="C1767" t="str">
        <f>"6190"</f>
        <v>6190</v>
      </c>
      <c r="E1767" t="s">
        <v>1854</v>
      </c>
      <c r="F1767" t="s">
        <v>24</v>
      </c>
      <c r="G1767" t="s">
        <v>1855</v>
      </c>
      <c r="H1767" t="s">
        <v>17</v>
      </c>
      <c r="I1767" t="s">
        <v>18</v>
      </c>
      <c r="J1767" t="str">
        <f>"5145623894"</f>
        <v>5145623894</v>
      </c>
      <c r="K1767" t="s">
        <v>6615</v>
      </c>
      <c r="L1767" t="s">
        <v>608</v>
      </c>
      <c r="M1767" t="s">
        <v>21</v>
      </c>
    </row>
    <row r="1768" spans="1:13" x14ac:dyDescent="0.35">
      <c r="A1768" t="str">
        <f>"218-0346"</f>
        <v>218-0346</v>
      </c>
      <c r="B1768" t="s">
        <v>6616</v>
      </c>
      <c r="C1768" t="str">
        <f>"6990"</f>
        <v>6990</v>
      </c>
      <c r="D1768" t="str">
        <f>"2"</f>
        <v>2</v>
      </c>
      <c r="E1768" t="s">
        <v>6617</v>
      </c>
      <c r="F1768" t="s">
        <v>24</v>
      </c>
      <c r="G1768" t="s">
        <v>6618</v>
      </c>
      <c r="H1768" t="s">
        <v>17</v>
      </c>
      <c r="I1768" t="s">
        <v>18</v>
      </c>
      <c r="J1768" t="str">
        <f>"4383662102"</f>
        <v>4383662102</v>
      </c>
      <c r="K1768" t="s">
        <v>6619</v>
      </c>
      <c r="L1768" t="s">
        <v>86</v>
      </c>
      <c r="M1768" t="s">
        <v>21</v>
      </c>
    </row>
    <row r="1769" spans="1:13" x14ac:dyDescent="0.35">
      <c r="A1769" t="str">
        <f>"218-3100"</f>
        <v>218-3100</v>
      </c>
      <c r="B1769" t="s">
        <v>6620</v>
      </c>
      <c r="C1769" t="str">
        <f>"2765"</f>
        <v>2765</v>
      </c>
      <c r="D1769" t="str">
        <f>"5"</f>
        <v>5</v>
      </c>
      <c r="E1769" t="s">
        <v>421</v>
      </c>
      <c r="F1769" t="s">
        <v>24</v>
      </c>
      <c r="G1769" t="s">
        <v>6621</v>
      </c>
      <c r="H1769" t="s">
        <v>17</v>
      </c>
      <c r="I1769" t="s">
        <v>18</v>
      </c>
      <c r="J1769" t="str">
        <f>"4383465807"</f>
        <v>4383465807</v>
      </c>
      <c r="K1769" t="s">
        <v>6622</v>
      </c>
      <c r="L1769" t="s">
        <v>86</v>
      </c>
      <c r="M1769" t="s">
        <v>21</v>
      </c>
    </row>
    <row r="1770" spans="1:13" x14ac:dyDescent="0.35">
      <c r="A1770" t="str">
        <f>"228-7660"</f>
        <v>228-7660</v>
      </c>
      <c r="B1770" t="s">
        <v>6623</v>
      </c>
      <c r="C1770" t="str">
        <f>"9053"</f>
        <v>9053</v>
      </c>
      <c r="E1770" t="s">
        <v>485</v>
      </c>
      <c r="F1770" t="s">
        <v>24</v>
      </c>
      <c r="G1770" t="s">
        <v>6624</v>
      </c>
      <c r="H1770" t="s">
        <v>17</v>
      </c>
      <c r="I1770" t="s">
        <v>18</v>
      </c>
      <c r="J1770" t="str">
        <f>"4382230638"</f>
        <v>4382230638</v>
      </c>
      <c r="K1770" t="s">
        <v>6625</v>
      </c>
      <c r="L1770" t="s">
        <v>869</v>
      </c>
      <c r="M1770" t="s">
        <v>21</v>
      </c>
    </row>
    <row r="1771" spans="1:13" x14ac:dyDescent="0.35">
      <c r="A1771" t="str">
        <f>"228-9375"</f>
        <v>228-9375</v>
      </c>
      <c r="B1771" t="s">
        <v>6626</v>
      </c>
      <c r="C1771" t="str">
        <f>"1941"</f>
        <v>1941</v>
      </c>
      <c r="E1771" t="s">
        <v>100</v>
      </c>
      <c r="F1771" t="s">
        <v>24</v>
      </c>
      <c r="G1771" t="s">
        <v>6627</v>
      </c>
      <c r="H1771" t="s">
        <v>17</v>
      </c>
      <c r="I1771" t="s">
        <v>18</v>
      </c>
      <c r="J1771" t="str">
        <f>"4387222261"</f>
        <v>4387222261</v>
      </c>
      <c r="K1771" t="s">
        <v>6628</v>
      </c>
      <c r="L1771" t="s">
        <v>168</v>
      </c>
      <c r="M1771" t="s">
        <v>21</v>
      </c>
    </row>
    <row r="1772" spans="1:13" x14ac:dyDescent="0.35">
      <c r="A1772" t="str">
        <f>"242-5414"</f>
        <v>242-5414</v>
      </c>
      <c r="B1772" t="s">
        <v>6629</v>
      </c>
      <c r="C1772" t="str">
        <f>"905"</f>
        <v>905</v>
      </c>
      <c r="D1772" t="str">
        <f>"402"</f>
        <v>402</v>
      </c>
      <c r="E1772" t="s">
        <v>6630</v>
      </c>
      <c r="F1772" t="s">
        <v>24</v>
      </c>
      <c r="G1772" t="s">
        <v>6631</v>
      </c>
      <c r="H1772" t="s">
        <v>17</v>
      </c>
      <c r="I1772" t="s">
        <v>18</v>
      </c>
      <c r="J1772" t="str">
        <f>"5148066462"</f>
        <v>5148066462</v>
      </c>
      <c r="K1772" t="s">
        <v>6632</v>
      </c>
      <c r="L1772" t="s">
        <v>438</v>
      </c>
      <c r="M1772" t="s">
        <v>21</v>
      </c>
    </row>
    <row r="1773" spans="1:13" x14ac:dyDescent="0.35">
      <c r="A1773" t="str">
        <f>"242-5356"</f>
        <v>242-5356</v>
      </c>
      <c r="B1773" t="s">
        <v>6633</v>
      </c>
      <c r="C1773" t="str">
        <f>"1760"</f>
        <v>1760</v>
      </c>
      <c r="E1773" t="s">
        <v>6634</v>
      </c>
      <c r="F1773" t="s">
        <v>157</v>
      </c>
      <c r="G1773" t="s">
        <v>6635</v>
      </c>
      <c r="H1773" t="s">
        <v>17</v>
      </c>
      <c r="I1773" t="s">
        <v>18</v>
      </c>
      <c r="J1773" t="str">
        <f>"4385082015"</f>
        <v>4385082015</v>
      </c>
      <c r="K1773" t="s">
        <v>6636</v>
      </c>
      <c r="L1773" t="s">
        <v>168</v>
      </c>
      <c r="M1773" t="s">
        <v>21</v>
      </c>
    </row>
    <row r="1774" spans="1:13" x14ac:dyDescent="0.35">
      <c r="A1774" t="str">
        <f>"243-6850"</f>
        <v>243-6850</v>
      </c>
      <c r="B1774" t="s">
        <v>6637</v>
      </c>
      <c r="C1774" t="str">
        <f>"9257"</f>
        <v>9257</v>
      </c>
      <c r="D1774" t="str">
        <f>"4"</f>
        <v>4</v>
      </c>
      <c r="E1774" t="s">
        <v>6638</v>
      </c>
      <c r="F1774" t="s">
        <v>24</v>
      </c>
      <c r="G1774" t="s">
        <v>6639</v>
      </c>
      <c r="H1774" t="s">
        <v>17</v>
      </c>
      <c r="I1774" t="s">
        <v>18</v>
      </c>
      <c r="J1774" t="str">
        <f>"5142953570"</f>
        <v>5142953570</v>
      </c>
      <c r="K1774" t="s">
        <v>6640</v>
      </c>
      <c r="L1774" t="s">
        <v>86</v>
      </c>
      <c r="M1774" t="s">
        <v>21</v>
      </c>
    </row>
    <row r="1775" spans="1:13" x14ac:dyDescent="0.35">
      <c r="A1775" t="str">
        <f>"623-9050"</f>
        <v>623-9050</v>
      </c>
      <c r="B1775" t="s">
        <v>6641</v>
      </c>
      <c r="C1775" t="str">
        <f>"8625"</f>
        <v>8625</v>
      </c>
      <c r="D1775" t="str">
        <f>"5"</f>
        <v>5</v>
      </c>
      <c r="E1775" t="s">
        <v>236</v>
      </c>
      <c r="F1775" t="s">
        <v>24</v>
      </c>
      <c r="G1775" t="s">
        <v>5252</v>
      </c>
      <c r="H1775" t="s">
        <v>17</v>
      </c>
      <c r="I1775" t="s">
        <v>18</v>
      </c>
      <c r="J1775" t="str">
        <f>"5145772416"</f>
        <v>5145772416</v>
      </c>
      <c r="K1775" t="s">
        <v>6642</v>
      </c>
      <c r="L1775" t="s">
        <v>76</v>
      </c>
      <c r="M1775" t="s">
        <v>21</v>
      </c>
    </row>
    <row r="1776" spans="1:13" x14ac:dyDescent="0.35">
      <c r="A1776" t="str">
        <f>"624-1835"</f>
        <v>624-1835</v>
      </c>
      <c r="B1776" t="s">
        <v>6643</v>
      </c>
      <c r="C1776" t="str">
        <f>"6190"</f>
        <v>6190</v>
      </c>
      <c r="E1776" t="s">
        <v>1854</v>
      </c>
      <c r="F1776" t="s">
        <v>24</v>
      </c>
      <c r="G1776" t="s">
        <v>1855</v>
      </c>
      <c r="H1776" t="s">
        <v>17</v>
      </c>
      <c r="I1776" t="s">
        <v>18</v>
      </c>
      <c r="J1776" t="str">
        <f>"5146553894"</f>
        <v>5146553894</v>
      </c>
      <c r="K1776" t="s">
        <v>6644</v>
      </c>
      <c r="L1776" t="s">
        <v>396</v>
      </c>
      <c r="M1776" t="s">
        <v>21</v>
      </c>
    </row>
    <row r="1777" spans="1:13" x14ac:dyDescent="0.35">
      <c r="A1777" t="str">
        <f>"627-5516"</f>
        <v>627-5516</v>
      </c>
      <c r="B1777" t="s">
        <v>6645</v>
      </c>
      <c r="C1777" t="str">
        <f>"5651"</f>
        <v>5651</v>
      </c>
      <c r="E1777" t="s">
        <v>3200</v>
      </c>
      <c r="F1777" t="s">
        <v>40</v>
      </c>
      <c r="G1777" t="s">
        <v>6646</v>
      </c>
      <c r="H1777" t="s">
        <v>17</v>
      </c>
      <c r="I1777" t="s">
        <v>18</v>
      </c>
      <c r="J1777" t="str">
        <f>"5142123604"</f>
        <v>5142123604</v>
      </c>
      <c r="K1777" t="s">
        <v>6647</v>
      </c>
      <c r="L1777" t="s">
        <v>86</v>
      </c>
      <c r="M1777" t="s">
        <v>21</v>
      </c>
    </row>
    <row r="1778" spans="1:13" x14ac:dyDescent="0.35">
      <c r="A1778" t="str">
        <f>"627-5603"</f>
        <v>627-5603</v>
      </c>
      <c r="B1778" t="s">
        <v>6648</v>
      </c>
      <c r="C1778" t="str">
        <f>"6144"</f>
        <v>6144</v>
      </c>
      <c r="D1778" t="str">
        <f>"11"</f>
        <v>11</v>
      </c>
      <c r="E1778" t="s">
        <v>445</v>
      </c>
      <c r="F1778" t="s">
        <v>40</v>
      </c>
      <c r="G1778" t="s">
        <v>6649</v>
      </c>
      <c r="H1778" t="s">
        <v>17</v>
      </c>
      <c r="I1778" t="s">
        <v>18</v>
      </c>
      <c r="J1778" t="str">
        <f>"2633883810"</f>
        <v>2633883810</v>
      </c>
      <c r="K1778" t="s">
        <v>6650</v>
      </c>
      <c r="L1778" t="s">
        <v>86</v>
      </c>
      <c r="M1778" t="s">
        <v>21</v>
      </c>
    </row>
    <row r="1779" spans="1:13" x14ac:dyDescent="0.35">
      <c r="A1779" t="str">
        <f>"243-9594"</f>
        <v>243-9594</v>
      </c>
      <c r="B1779" t="s">
        <v>6651</v>
      </c>
      <c r="C1779" t="str">
        <f>"3324"</f>
        <v>3324</v>
      </c>
      <c r="E1779" t="s">
        <v>6652</v>
      </c>
      <c r="F1779" t="s">
        <v>54</v>
      </c>
      <c r="G1779" t="s">
        <v>6653</v>
      </c>
      <c r="H1779" t="s">
        <v>17</v>
      </c>
      <c r="I1779" t="s">
        <v>18</v>
      </c>
      <c r="J1779" t="str">
        <f>"4385212094"</f>
        <v>4385212094</v>
      </c>
      <c r="K1779" t="s">
        <v>6654</v>
      </c>
      <c r="L1779" t="s">
        <v>438</v>
      </c>
      <c r="M1779" t="s">
        <v>21</v>
      </c>
    </row>
    <row r="1780" spans="1:13" x14ac:dyDescent="0.35">
      <c r="A1780" t="str">
        <f>"243-9719"</f>
        <v>243-9719</v>
      </c>
      <c r="B1780" t="s">
        <v>6655</v>
      </c>
      <c r="C1780" t="str">
        <f>"4590"</f>
        <v>4590</v>
      </c>
      <c r="E1780" t="s">
        <v>6656</v>
      </c>
      <c r="F1780" t="s">
        <v>54</v>
      </c>
      <c r="G1780" t="s">
        <v>6657</v>
      </c>
      <c r="H1780" t="s">
        <v>17</v>
      </c>
      <c r="I1780" t="s">
        <v>18</v>
      </c>
      <c r="J1780" t="str">
        <f>"4389265113"</f>
        <v>4389265113</v>
      </c>
      <c r="K1780" t="s">
        <v>6658</v>
      </c>
      <c r="L1780" t="s">
        <v>438</v>
      </c>
      <c r="M1780" t="s">
        <v>21</v>
      </c>
    </row>
    <row r="1781" spans="1:13" x14ac:dyDescent="0.35">
      <c r="A1781" t="str">
        <f>"244-0161"</f>
        <v>244-0161</v>
      </c>
      <c r="B1781" t="s">
        <v>6659</v>
      </c>
      <c r="C1781" t="str">
        <f>"6257"</f>
        <v>6257</v>
      </c>
      <c r="E1781" t="s">
        <v>1425</v>
      </c>
      <c r="F1781" t="s">
        <v>24</v>
      </c>
      <c r="G1781" t="s">
        <v>6660</v>
      </c>
      <c r="H1781" t="s">
        <v>17</v>
      </c>
      <c r="I1781" t="s">
        <v>18</v>
      </c>
      <c r="J1781" t="str">
        <f>"5149228077"</f>
        <v>5149228077</v>
      </c>
      <c r="K1781" t="s">
        <v>6661</v>
      </c>
      <c r="L1781" t="s">
        <v>86</v>
      </c>
      <c r="M1781" t="s">
        <v>21</v>
      </c>
    </row>
    <row r="1782" spans="1:13" x14ac:dyDescent="0.35">
      <c r="A1782" t="str">
        <f>"244-0925"</f>
        <v>244-0925</v>
      </c>
      <c r="B1782" t="s">
        <v>6662</v>
      </c>
      <c r="C1782" t="str">
        <f>"597"</f>
        <v>597</v>
      </c>
      <c r="E1782" t="s">
        <v>6663</v>
      </c>
      <c r="F1782" t="s">
        <v>54</v>
      </c>
      <c r="G1782" t="s">
        <v>6664</v>
      </c>
      <c r="H1782" t="s">
        <v>17</v>
      </c>
      <c r="I1782" t="s">
        <v>18</v>
      </c>
      <c r="J1782" t="str">
        <f>"4388811836"</f>
        <v>4388811836</v>
      </c>
      <c r="K1782" t="s">
        <v>6665</v>
      </c>
      <c r="L1782" t="s">
        <v>438</v>
      </c>
      <c r="M1782" t="s">
        <v>21</v>
      </c>
    </row>
    <row r="1783" spans="1:13" x14ac:dyDescent="0.35">
      <c r="A1783" t="str">
        <f>"244-7246"</f>
        <v>244-7246</v>
      </c>
      <c r="B1783" t="s">
        <v>6666</v>
      </c>
      <c r="C1783" t="str">
        <f>"2475"</f>
        <v>2475</v>
      </c>
      <c r="E1783" t="s">
        <v>6667</v>
      </c>
      <c r="F1783" t="s">
        <v>54</v>
      </c>
      <c r="G1783" t="s">
        <v>6668</v>
      </c>
      <c r="H1783" t="s">
        <v>17</v>
      </c>
      <c r="I1783" t="s">
        <v>18</v>
      </c>
      <c r="J1783" t="str">
        <f>"5149842475"</f>
        <v>5149842475</v>
      </c>
      <c r="K1783" t="s">
        <v>6669</v>
      </c>
      <c r="L1783" t="s">
        <v>220</v>
      </c>
      <c r="M1783" t="s">
        <v>21</v>
      </c>
    </row>
    <row r="1784" spans="1:13" x14ac:dyDescent="0.35">
      <c r="A1784" t="str">
        <f>"244-7519"</f>
        <v>244-7519</v>
      </c>
      <c r="B1784" t="s">
        <v>6670</v>
      </c>
      <c r="C1784" t="str">
        <f>"7093"</f>
        <v>7093</v>
      </c>
      <c r="E1784" t="s">
        <v>75</v>
      </c>
      <c r="F1784" t="s">
        <v>24</v>
      </c>
      <c r="G1784" t="s">
        <v>1381</v>
      </c>
      <c r="H1784" t="s">
        <v>17</v>
      </c>
      <c r="I1784" t="s">
        <v>18</v>
      </c>
      <c r="J1784" t="str">
        <f>"4389851035"</f>
        <v>4389851035</v>
      </c>
      <c r="K1784" t="s">
        <v>6671</v>
      </c>
      <c r="L1784" t="s">
        <v>86</v>
      </c>
      <c r="M1784" t="s">
        <v>21</v>
      </c>
    </row>
    <row r="1785" spans="1:13" x14ac:dyDescent="0.35">
      <c r="A1785" t="str">
        <f>"198-4942"</f>
        <v>198-4942</v>
      </c>
      <c r="B1785" t="s">
        <v>6672</v>
      </c>
      <c r="C1785" t="str">
        <f>"6925"</f>
        <v>6925</v>
      </c>
      <c r="D1785" t="str">
        <f>"14"</f>
        <v>14</v>
      </c>
      <c r="E1785" t="s">
        <v>6673</v>
      </c>
      <c r="F1785" t="s">
        <v>24</v>
      </c>
      <c r="G1785" t="s">
        <v>6674</v>
      </c>
      <c r="H1785" t="s">
        <v>17</v>
      </c>
      <c r="I1785" t="s">
        <v>18</v>
      </c>
      <c r="J1785" t="str">
        <f>"5142346202"</f>
        <v>5142346202</v>
      </c>
      <c r="K1785" t="s">
        <v>6675</v>
      </c>
      <c r="L1785" t="s">
        <v>874</v>
      </c>
      <c r="M1785" t="s">
        <v>21</v>
      </c>
    </row>
    <row r="1786" spans="1:13" x14ac:dyDescent="0.35">
      <c r="A1786" t="str">
        <f>"199-0978"</f>
        <v>199-0978</v>
      </c>
      <c r="B1786" t="s">
        <v>6676</v>
      </c>
      <c r="C1786" t="str">
        <f>"1945"</f>
        <v>1945</v>
      </c>
      <c r="E1786" t="s">
        <v>1788</v>
      </c>
      <c r="F1786" t="s">
        <v>24</v>
      </c>
      <c r="G1786" t="s">
        <v>6677</v>
      </c>
      <c r="H1786" t="s">
        <v>17</v>
      </c>
      <c r="I1786" t="s">
        <v>18</v>
      </c>
      <c r="J1786" t="str">
        <f>"5144884907"</f>
        <v>5144884907</v>
      </c>
      <c r="K1786" t="s">
        <v>6678</v>
      </c>
      <c r="L1786" t="s">
        <v>383</v>
      </c>
      <c r="M1786" t="s">
        <v>21</v>
      </c>
    </row>
    <row r="1787" spans="1:13" x14ac:dyDescent="0.35">
      <c r="A1787" t="str">
        <f>"202-5479"</f>
        <v>202-5479</v>
      </c>
      <c r="B1787" t="s">
        <v>6679</v>
      </c>
      <c r="C1787" t="str">
        <f>"6779"</f>
        <v>6779</v>
      </c>
      <c r="E1787" t="s">
        <v>3662</v>
      </c>
      <c r="F1787" t="s">
        <v>24</v>
      </c>
      <c r="G1787" t="s">
        <v>3663</v>
      </c>
      <c r="H1787" t="s">
        <v>17</v>
      </c>
      <c r="I1787" t="s">
        <v>18</v>
      </c>
      <c r="J1787" t="str">
        <f>"5146605660"</f>
        <v>5146605660</v>
      </c>
      <c r="K1787" t="s">
        <v>6680</v>
      </c>
      <c r="L1787" t="s">
        <v>86</v>
      </c>
      <c r="M1787" t="s">
        <v>21</v>
      </c>
    </row>
    <row r="1788" spans="1:13" x14ac:dyDescent="0.35">
      <c r="A1788" t="str">
        <f>"136-9496"</f>
        <v>136-9496</v>
      </c>
      <c r="B1788" t="s">
        <v>6681</v>
      </c>
      <c r="C1788" t="str">
        <f>"3255"</f>
        <v>3255</v>
      </c>
      <c r="E1788" t="s">
        <v>6682</v>
      </c>
      <c r="F1788" t="s">
        <v>24</v>
      </c>
      <c r="G1788" t="s">
        <v>6683</v>
      </c>
      <c r="H1788" t="s">
        <v>17</v>
      </c>
      <c r="I1788" t="s">
        <v>18</v>
      </c>
      <c r="J1788" t="str">
        <f>"5147461379"</f>
        <v>5147461379</v>
      </c>
      <c r="K1788" t="s">
        <v>6684</v>
      </c>
      <c r="L1788" t="s">
        <v>193</v>
      </c>
      <c r="M1788" t="s">
        <v>21</v>
      </c>
    </row>
    <row r="1789" spans="1:13" x14ac:dyDescent="0.35">
      <c r="A1789" t="str">
        <f>"142-3179"</f>
        <v>142-3179</v>
      </c>
      <c r="B1789" t="s">
        <v>6685</v>
      </c>
      <c r="C1789" t="str">
        <f>"320"</f>
        <v>320</v>
      </c>
      <c r="E1789" t="s">
        <v>6686</v>
      </c>
      <c r="F1789" t="s">
        <v>24</v>
      </c>
      <c r="G1789" t="s">
        <v>6687</v>
      </c>
      <c r="H1789" t="s">
        <v>17</v>
      </c>
      <c r="I1789" t="s">
        <v>18</v>
      </c>
      <c r="J1789" t="str">
        <f>"4388318088"</f>
        <v>4388318088</v>
      </c>
      <c r="K1789" t="s">
        <v>6688</v>
      </c>
      <c r="L1789" t="s">
        <v>76</v>
      </c>
      <c r="M1789" t="s">
        <v>21</v>
      </c>
    </row>
    <row r="1790" spans="1:13" x14ac:dyDescent="0.35">
      <c r="A1790" t="str">
        <f>"168-9215"</f>
        <v>168-9215</v>
      </c>
      <c r="B1790" t="s">
        <v>6689</v>
      </c>
      <c r="C1790" t="str">
        <f>"10690"</f>
        <v>10690</v>
      </c>
      <c r="E1790" t="s">
        <v>6690</v>
      </c>
      <c r="F1790" t="s">
        <v>143</v>
      </c>
      <c r="G1790" t="s">
        <v>6691</v>
      </c>
      <c r="H1790" t="s">
        <v>17</v>
      </c>
      <c r="I1790" t="s">
        <v>18</v>
      </c>
      <c r="J1790" t="str">
        <f>"5148912760"</f>
        <v>5148912760</v>
      </c>
      <c r="K1790" t="s">
        <v>6692</v>
      </c>
      <c r="L1790" t="s">
        <v>137</v>
      </c>
      <c r="M1790" t="s">
        <v>21</v>
      </c>
    </row>
    <row r="1791" spans="1:13" x14ac:dyDescent="0.35">
      <c r="A1791" t="str">
        <f>"173-9494"</f>
        <v>173-9494</v>
      </c>
      <c r="B1791" t="s">
        <v>6693</v>
      </c>
      <c r="C1791" t="str">
        <f>"749"</f>
        <v>749</v>
      </c>
      <c r="E1791" t="s">
        <v>6694</v>
      </c>
      <c r="F1791" t="s">
        <v>24</v>
      </c>
      <c r="G1791" t="s">
        <v>6695</v>
      </c>
      <c r="H1791" t="s">
        <v>17</v>
      </c>
      <c r="I1791" t="s">
        <v>18</v>
      </c>
      <c r="J1791" t="str">
        <f>"5147799168"</f>
        <v>5147799168</v>
      </c>
      <c r="K1791" t="s">
        <v>6696</v>
      </c>
      <c r="L1791" t="s">
        <v>86</v>
      </c>
      <c r="M1791" t="s">
        <v>21</v>
      </c>
    </row>
    <row r="1792" spans="1:13" x14ac:dyDescent="0.35">
      <c r="A1792" t="str">
        <f>"627-1649"</f>
        <v>627-1649</v>
      </c>
      <c r="B1792" t="s">
        <v>6697</v>
      </c>
      <c r="C1792" t="str">
        <f>"521"</f>
        <v>521</v>
      </c>
      <c r="E1792" t="s">
        <v>6698</v>
      </c>
      <c r="F1792" t="s">
        <v>1554</v>
      </c>
      <c r="G1792" t="s">
        <v>6699</v>
      </c>
      <c r="H1792" t="s">
        <v>17</v>
      </c>
      <c r="I1792" t="s">
        <v>18</v>
      </c>
      <c r="J1792" t="str">
        <f>"4383785716"</f>
        <v>4383785716</v>
      </c>
      <c r="K1792" t="s">
        <v>6700</v>
      </c>
      <c r="L1792" t="s">
        <v>168</v>
      </c>
      <c r="M1792" t="s">
        <v>21</v>
      </c>
    </row>
    <row r="1793" spans="1:13" x14ac:dyDescent="0.35">
      <c r="A1793" t="str">
        <f>"224-7242"</f>
        <v>224-7242</v>
      </c>
      <c r="B1793" t="s">
        <v>6701</v>
      </c>
      <c r="C1793" t="str">
        <f>"5661"</f>
        <v>5661</v>
      </c>
      <c r="D1793" t="str">
        <f>"616"</f>
        <v>616</v>
      </c>
      <c r="E1793" t="s">
        <v>4058</v>
      </c>
      <c r="F1793" t="s">
        <v>24</v>
      </c>
      <c r="G1793" t="s">
        <v>6702</v>
      </c>
      <c r="H1793" t="s">
        <v>17</v>
      </c>
      <c r="I1793" t="s">
        <v>18</v>
      </c>
      <c r="J1793" t="str">
        <f>"5146478547"</f>
        <v>5146478547</v>
      </c>
      <c r="K1793" t="s">
        <v>6703</v>
      </c>
      <c r="L1793" t="s">
        <v>396</v>
      </c>
      <c r="M1793" t="s">
        <v>21</v>
      </c>
    </row>
    <row r="1794" spans="1:13" x14ac:dyDescent="0.35">
      <c r="A1794" t="str">
        <f>"225-1384"</f>
        <v>225-1384</v>
      </c>
      <c r="B1794" t="s">
        <v>6704</v>
      </c>
      <c r="C1794" t="str">
        <f>"656"</f>
        <v>656</v>
      </c>
      <c r="E1794" t="s">
        <v>6705</v>
      </c>
      <c r="F1794" t="s">
        <v>2174</v>
      </c>
      <c r="G1794" t="s">
        <v>6706</v>
      </c>
      <c r="H1794" t="s">
        <v>17</v>
      </c>
      <c r="I1794" t="s">
        <v>18</v>
      </c>
      <c r="J1794" t="str">
        <f>"8196358080"</f>
        <v>8196358080</v>
      </c>
      <c r="K1794" t="s">
        <v>6707</v>
      </c>
      <c r="L1794" t="s">
        <v>203</v>
      </c>
      <c r="M1794" t="s">
        <v>21</v>
      </c>
    </row>
    <row r="1795" spans="1:13" x14ac:dyDescent="0.35">
      <c r="A1795" t="str">
        <f>"225-6430"</f>
        <v>225-6430</v>
      </c>
      <c r="B1795" t="s">
        <v>6708</v>
      </c>
      <c r="C1795" t="str">
        <f>"3048"</f>
        <v>3048</v>
      </c>
      <c r="E1795" t="s">
        <v>6709</v>
      </c>
      <c r="F1795" t="s">
        <v>54</v>
      </c>
      <c r="G1795" t="s">
        <v>6710</v>
      </c>
      <c r="H1795" t="s">
        <v>17</v>
      </c>
      <c r="I1795" t="s">
        <v>18</v>
      </c>
      <c r="J1795" t="str">
        <f>"5146381013"</f>
        <v>5146381013</v>
      </c>
      <c r="K1795" t="s">
        <v>6711</v>
      </c>
      <c r="L1795" t="s">
        <v>220</v>
      </c>
      <c r="M1795" t="s">
        <v>21</v>
      </c>
    </row>
    <row r="1796" spans="1:13" x14ac:dyDescent="0.35">
      <c r="A1796" t="str">
        <f>"228-1726"</f>
        <v>228-1726</v>
      </c>
      <c r="B1796" t="s">
        <v>6712</v>
      </c>
      <c r="C1796" t="str">
        <f>"4702"</f>
        <v>4702</v>
      </c>
      <c r="E1796" t="s">
        <v>3994</v>
      </c>
      <c r="F1796" t="s">
        <v>24</v>
      </c>
      <c r="G1796" t="s">
        <v>6713</v>
      </c>
      <c r="H1796" t="s">
        <v>17</v>
      </c>
      <c r="I1796" t="s">
        <v>18</v>
      </c>
      <c r="J1796" t="str">
        <f>"4388287305"</f>
        <v>4388287305</v>
      </c>
      <c r="K1796" t="s">
        <v>6714</v>
      </c>
      <c r="L1796" t="s">
        <v>86</v>
      </c>
      <c r="M1796" t="s">
        <v>21</v>
      </c>
    </row>
    <row r="1797" spans="1:13" x14ac:dyDescent="0.35">
      <c r="A1797" t="str">
        <f>"228-4412"</f>
        <v>228-4412</v>
      </c>
      <c r="B1797" t="s">
        <v>6715</v>
      </c>
      <c r="C1797" t="str">
        <f>"720"</f>
        <v>720</v>
      </c>
      <c r="E1797" t="s">
        <v>6716</v>
      </c>
      <c r="F1797" t="s">
        <v>143</v>
      </c>
      <c r="G1797" t="s">
        <v>6717</v>
      </c>
      <c r="H1797" t="s">
        <v>17</v>
      </c>
      <c r="I1797" t="s">
        <v>18</v>
      </c>
      <c r="J1797" t="str">
        <f>"5149742201"</f>
        <v>5149742201</v>
      </c>
      <c r="K1797" t="s">
        <v>6718</v>
      </c>
      <c r="L1797" t="s">
        <v>396</v>
      </c>
      <c r="M1797" t="s">
        <v>21</v>
      </c>
    </row>
    <row r="1798" spans="1:13" x14ac:dyDescent="0.35">
      <c r="A1798" t="str">
        <f>"228-4261"</f>
        <v>228-4261</v>
      </c>
      <c r="B1798" t="s">
        <v>6719</v>
      </c>
      <c r="C1798" t="str">
        <f>"11940"</f>
        <v>11940</v>
      </c>
      <c r="E1798" t="s">
        <v>1593</v>
      </c>
      <c r="F1798" t="s">
        <v>24</v>
      </c>
      <c r="G1798" t="s">
        <v>6720</v>
      </c>
      <c r="H1798" t="s">
        <v>17</v>
      </c>
      <c r="I1798" t="s">
        <v>18</v>
      </c>
      <c r="J1798" t="str">
        <f>"5149129223"</f>
        <v>5149129223</v>
      </c>
      <c r="K1798" t="s">
        <v>6721</v>
      </c>
      <c r="L1798" t="s">
        <v>220</v>
      </c>
      <c r="M1798" t="s">
        <v>21</v>
      </c>
    </row>
    <row r="1799" spans="1:13" x14ac:dyDescent="0.35">
      <c r="A1799" t="str">
        <f>"243-4011"</f>
        <v>243-4011</v>
      </c>
      <c r="B1799" t="s">
        <v>6722</v>
      </c>
      <c r="C1799" t="str">
        <f>"5608"</f>
        <v>5608</v>
      </c>
      <c r="D1799" t="str">
        <f>"5"</f>
        <v>5</v>
      </c>
      <c r="E1799" t="s">
        <v>440</v>
      </c>
      <c r="F1799" t="s">
        <v>24</v>
      </c>
      <c r="G1799" t="s">
        <v>6723</v>
      </c>
      <c r="H1799" t="s">
        <v>17</v>
      </c>
      <c r="I1799" t="s">
        <v>18</v>
      </c>
      <c r="J1799" t="str">
        <f>"4382234498"</f>
        <v>4382234498</v>
      </c>
      <c r="K1799" t="s">
        <v>6724</v>
      </c>
      <c r="L1799" t="s">
        <v>438</v>
      </c>
      <c r="M1799" t="s">
        <v>21</v>
      </c>
    </row>
    <row r="1800" spans="1:13" x14ac:dyDescent="0.35">
      <c r="A1800" t="str">
        <f>"186-2688"</f>
        <v>186-2688</v>
      </c>
      <c r="B1800" t="s">
        <v>6725</v>
      </c>
      <c r="C1800" t="str">
        <f>"6303"</f>
        <v>6303</v>
      </c>
      <c r="D1800" t="str">
        <f>"3"</f>
        <v>3</v>
      </c>
      <c r="E1800" t="s">
        <v>2249</v>
      </c>
      <c r="F1800" t="s">
        <v>24</v>
      </c>
      <c r="G1800" t="s">
        <v>2250</v>
      </c>
      <c r="H1800" t="s">
        <v>17</v>
      </c>
      <c r="I1800" t="s">
        <v>18</v>
      </c>
      <c r="J1800" t="str">
        <f>"5142335083"</f>
        <v>5142335083</v>
      </c>
      <c r="K1800" t="s">
        <v>6726</v>
      </c>
      <c r="L1800" t="s">
        <v>869</v>
      </c>
      <c r="M1800" t="s">
        <v>21</v>
      </c>
    </row>
    <row r="1801" spans="1:13" x14ac:dyDescent="0.35">
      <c r="A1801" t="str">
        <f>"187-8079"</f>
        <v>187-8079</v>
      </c>
      <c r="B1801" t="s">
        <v>6727</v>
      </c>
      <c r="C1801" t="str">
        <f>"40"</f>
        <v>40</v>
      </c>
      <c r="E1801" t="s">
        <v>6728</v>
      </c>
      <c r="F1801" t="s">
        <v>3752</v>
      </c>
      <c r="G1801" t="s">
        <v>6729</v>
      </c>
      <c r="H1801" t="s">
        <v>17</v>
      </c>
      <c r="I1801" t="s">
        <v>18</v>
      </c>
      <c r="J1801" t="str">
        <f>"5144431931"</f>
        <v>5144431931</v>
      </c>
      <c r="K1801" t="s">
        <v>6730</v>
      </c>
      <c r="L1801" t="s">
        <v>39</v>
      </c>
      <c r="M1801" t="s">
        <v>21</v>
      </c>
    </row>
    <row r="1802" spans="1:13" x14ac:dyDescent="0.35">
      <c r="A1802" t="str">
        <f>"218-7754"</f>
        <v>218-7754</v>
      </c>
      <c r="B1802" t="s">
        <v>6731</v>
      </c>
      <c r="C1802" t="str">
        <f>"4014"</f>
        <v>4014</v>
      </c>
      <c r="E1802" t="s">
        <v>6732</v>
      </c>
      <c r="F1802" t="s">
        <v>54</v>
      </c>
      <c r="G1802" t="s">
        <v>6733</v>
      </c>
      <c r="H1802" t="s">
        <v>17</v>
      </c>
      <c r="I1802" t="s">
        <v>18</v>
      </c>
      <c r="J1802" t="str">
        <f>"4385305249"</f>
        <v>4385305249</v>
      </c>
      <c r="K1802" t="s">
        <v>6734</v>
      </c>
      <c r="L1802" t="s">
        <v>383</v>
      </c>
      <c r="M1802" t="s">
        <v>21</v>
      </c>
    </row>
    <row r="1803" spans="1:13" x14ac:dyDescent="0.35">
      <c r="A1803" t="str">
        <f>"231-0770"</f>
        <v>231-0770</v>
      </c>
      <c r="B1803" t="s">
        <v>6735</v>
      </c>
      <c r="C1803" t="str">
        <f>"8634"</f>
        <v>8634</v>
      </c>
      <c r="E1803" t="s">
        <v>6736</v>
      </c>
      <c r="F1803" t="s">
        <v>656</v>
      </c>
      <c r="G1803" t="s">
        <v>6737</v>
      </c>
      <c r="H1803" t="s">
        <v>17</v>
      </c>
      <c r="I1803" t="s">
        <v>18</v>
      </c>
      <c r="J1803" t="str">
        <f>"5146929822"</f>
        <v>5146929822</v>
      </c>
      <c r="K1803" t="s">
        <v>6738</v>
      </c>
      <c r="L1803" t="s">
        <v>27</v>
      </c>
      <c r="M1803" t="s">
        <v>21</v>
      </c>
    </row>
    <row r="1804" spans="1:13" x14ac:dyDescent="0.35">
      <c r="A1804" t="str">
        <f>"231-6275"</f>
        <v>231-6275</v>
      </c>
      <c r="B1804" t="s">
        <v>6739</v>
      </c>
      <c r="C1804" t="str">
        <f>"591"</f>
        <v>591</v>
      </c>
      <c r="E1804" t="s">
        <v>6052</v>
      </c>
      <c r="F1804" t="s">
        <v>1554</v>
      </c>
      <c r="G1804" t="s">
        <v>6699</v>
      </c>
      <c r="H1804" t="s">
        <v>17</v>
      </c>
      <c r="I1804" t="s">
        <v>18</v>
      </c>
      <c r="J1804" t="str">
        <f>"4386228353"</f>
        <v>4386228353</v>
      </c>
      <c r="K1804" t="s">
        <v>6740</v>
      </c>
      <c r="L1804" t="s">
        <v>220</v>
      </c>
      <c r="M1804" t="s">
        <v>21</v>
      </c>
    </row>
    <row r="1805" spans="1:13" x14ac:dyDescent="0.35">
      <c r="A1805" t="str">
        <f>"243-8997"</f>
        <v>243-8997</v>
      </c>
      <c r="B1805" t="s">
        <v>6741</v>
      </c>
      <c r="C1805" t="str">
        <f>"4595"</f>
        <v>4595</v>
      </c>
      <c r="D1805" t="str">
        <f>"7"</f>
        <v>7</v>
      </c>
      <c r="E1805" t="s">
        <v>6742</v>
      </c>
      <c r="F1805" t="s">
        <v>24</v>
      </c>
      <c r="G1805" t="s">
        <v>6743</v>
      </c>
      <c r="H1805" t="s">
        <v>17</v>
      </c>
      <c r="I1805" t="s">
        <v>18</v>
      </c>
      <c r="J1805" t="str">
        <f>"5148210321"</f>
        <v>5148210321</v>
      </c>
      <c r="K1805" t="s">
        <v>6744</v>
      </c>
      <c r="L1805" t="s">
        <v>220</v>
      </c>
      <c r="M1805" t="s">
        <v>21</v>
      </c>
    </row>
    <row r="1806" spans="1:13" x14ac:dyDescent="0.35">
      <c r="A1806" t="str">
        <f>"243-9271"</f>
        <v>243-9271</v>
      </c>
      <c r="B1806" t="s">
        <v>6745</v>
      </c>
      <c r="C1806" t="str">
        <f>"5905"</f>
        <v>5905</v>
      </c>
      <c r="E1806" t="s">
        <v>176</v>
      </c>
      <c r="F1806" t="s">
        <v>24</v>
      </c>
      <c r="G1806" t="s">
        <v>6746</v>
      </c>
      <c r="H1806" t="s">
        <v>17</v>
      </c>
      <c r="I1806" t="s">
        <v>18</v>
      </c>
      <c r="J1806" t="str">
        <f>"5146620438"</f>
        <v>5146620438</v>
      </c>
      <c r="K1806" t="s">
        <v>6747</v>
      </c>
      <c r="L1806" t="s">
        <v>466</v>
      </c>
      <c r="M1806" t="s">
        <v>21</v>
      </c>
    </row>
    <row r="1807" spans="1:13" x14ac:dyDescent="0.35">
      <c r="A1807" t="str">
        <f>"243-9272"</f>
        <v>243-9272</v>
      </c>
      <c r="B1807" t="s">
        <v>6748</v>
      </c>
      <c r="C1807" t="str">
        <f>"6075"</f>
        <v>6075</v>
      </c>
      <c r="E1807" t="s">
        <v>822</v>
      </c>
      <c r="F1807" t="s">
        <v>24</v>
      </c>
      <c r="G1807" t="s">
        <v>6749</v>
      </c>
      <c r="H1807" t="s">
        <v>17</v>
      </c>
      <c r="I1807" t="s">
        <v>18</v>
      </c>
      <c r="J1807" t="str">
        <f>"4383734548"</f>
        <v>4383734548</v>
      </c>
      <c r="K1807" t="s">
        <v>6750</v>
      </c>
      <c r="L1807" t="s">
        <v>86</v>
      </c>
      <c r="M1807" t="s">
        <v>21</v>
      </c>
    </row>
    <row r="1808" spans="1:13" x14ac:dyDescent="0.35">
      <c r="A1808" t="str">
        <f>"243-9540"</f>
        <v>243-9540</v>
      </c>
      <c r="B1808" t="s">
        <v>6751</v>
      </c>
      <c r="C1808" t="str">
        <f>"123"</f>
        <v>123</v>
      </c>
      <c r="E1808" t="s">
        <v>6752</v>
      </c>
      <c r="F1808" t="s">
        <v>54</v>
      </c>
      <c r="G1808" t="s">
        <v>6753</v>
      </c>
      <c r="H1808" t="s">
        <v>17</v>
      </c>
      <c r="I1808" t="s">
        <v>18</v>
      </c>
      <c r="J1808" t="str">
        <f>"5143323871"</f>
        <v>5143323871</v>
      </c>
      <c r="K1808" t="s">
        <v>6754</v>
      </c>
      <c r="L1808" t="s">
        <v>438</v>
      </c>
      <c r="M1808" t="s">
        <v>21</v>
      </c>
    </row>
    <row r="1809" spans="1:13" x14ac:dyDescent="0.35">
      <c r="A1809" t="str">
        <f>"244-3750"</f>
        <v>244-3750</v>
      </c>
      <c r="B1809" t="s">
        <v>6755</v>
      </c>
      <c r="C1809" t="str">
        <f>"7401"</f>
        <v>7401</v>
      </c>
      <c r="D1809" t="str">
        <f>"7401"</f>
        <v>7401</v>
      </c>
      <c r="E1809" t="s">
        <v>6756</v>
      </c>
      <c r="F1809" t="s">
        <v>24</v>
      </c>
      <c r="G1809" t="s">
        <v>6757</v>
      </c>
      <c r="H1809" t="s">
        <v>17</v>
      </c>
      <c r="I1809" t="s">
        <v>18</v>
      </c>
      <c r="J1809" t="str">
        <f>"4387785387"</f>
        <v>4387785387</v>
      </c>
      <c r="K1809" t="s">
        <v>6758</v>
      </c>
      <c r="L1809" t="s">
        <v>86</v>
      </c>
      <c r="M1809" t="s">
        <v>21</v>
      </c>
    </row>
    <row r="1810" spans="1:13" x14ac:dyDescent="0.35">
      <c r="A1810" t="str">
        <f>"623-6273"</f>
        <v>623-6273</v>
      </c>
      <c r="B1810" t="s">
        <v>6759</v>
      </c>
      <c r="C1810" t="str">
        <f>"6038"</f>
        <v>6038</v>
      </c>
      <c r="E1810" t="s">
        <v>1429</v>
      </c>
      <c r="F1810" t="s">
        <v>24</v>
      </c>
      <c r="G1810" t="s">
        <v>6760</v>
      </c>
      <c r="H1810" t="s">
        <v>17</v>
      </c>
      <c r="I1810" t="s">
        <v>18</v>
      </c>
      <c r="J1810" t="str">
        <f>"4389243919"</f>
        <v>4389243919</v>
      </c>
      <c r="K1810" t="s">
        <v>6761</v>
      </c>
      <c r="L1810" t="s">
        <v>76</v>
      </c>
      <c r="M1810" t="s">
        <v>21</v>
      </c>
    </row>
    <row r="1811" spans="1:13" x14ac:dyDescent="0.35">
      <c r="A1811" t="str">
        <f>"623-6508"</f>
        <v>623-6508</v>
      </c>
      <c r="B1811" t="s">
        <v>6762</v>
      </c>
      <c r="C1811" t="str">
        <f>"7600"</f>
        <v>7600</v>
      </c>
      <c r="D1811" t="str">
        <f>"1"</f>
        <v>1</v>
      </c>
      <c r="E1811" t="s">
        <v>3288</v>
      </c>
      <c r="F1811" t="s">
        <v>24</v>
      </c>
      <c r="G1811" t="s">
        <v>3289</v>
      </c>
      <c r="H1811" t="s">
        <v>17</v>
      </c>
      <c r="I1811" t="s">
        <v>18</v>
      </c>
      <c r="J1811" t="str">
        <f>"5148235959"</f>
        <v>5148235959</v>
      </c>
      <c r="K1811" t="s">
        <v>6763</v>
      </c>
      <c r="L1811" t="s">
        <v>350</v>
      </c>
      <c r="M1811" t="s">
        <v>21</v>
      </c>
    </row>
    <row r="1812" spans="1:13" x14ac:dyDescent="0.35">
      <c r="A1812" t="str">
        <f>"622-8389"</f>
        <v>622-8389</v>
      </c>
      <c r="B1812" t="s">
        <v>6764</v>
      </c>
      <c r="C1812" t="str">
        <f>"1744"</f>
        <v>1744</v>
      </c>
      <c r="E1812" t="s">
        <v>6765</v>
      </c>
      <c r="F1812" t="s">
        <v>32</v>
      </c>
      <c r="G1812" t="s">
        <v>6766</v>
      </c>
      <c r="H1812" t="s">
        <v>17</v>
      </c>
      <c r="I1812" t="s">
        <v>18</v>
      </c>
      <c r="J1812" t="str">
        <f>"5145920961"</f>
        <v>5145920961</v>
      </c>
      <c r="K1812" t="s">
        <v>6767</v>
      </c>
      <c r="L1812" t="s">
        <v>86</v>
      </c>
      <c r="M1812" t="s">
        <v>21</v>
      </c>
    </row>
    <row r="1813" spans="1:13" x14ac:dyDescent="0.35">
      <c r="A1813" t="str">
        <f>"626-6880"</f>
        <v>626-6880</v>
      </c>
      <c r="B1813" t="s">
        <v>6768</v>
      </c>
      <c r="C1813" t="str">
        <f>"2950"</f>
        <v>2950</v>
      </c>
      <c r="D1813" t="str">
        <f>"306"</f>
        <v>306</v>
      </c>
      <c r="E1813" t="s">
        <v>6769</v>
      </c>
      <c r="F1813" t="s">
        <v>24</v>
      </c>
      <c r="G1813" t="s">
        <v>6770</v>
      </c>
      <c r="H1813" t="s">
        <v>17</v>
      </c>
      <c r="I1813" t="s">
        <v>18</v>
      </c>
      <c r="J1813" t="str">
        <f>"5146383677"</f>
        <v>5146383677</v>
      </c>
      <c r="K1813" t="s">
        <v>6771</v>
      </c>
      <c r="L1813" t="s">
        <v>438</v>
      </c>
      <c r="M1813" t="s">
        <v>21</v>
      </c>
    </row>
    <row r="1814" spans="1:13" x14ac:dyDescent="0.35">
      <c r="A1814" t="str">
        <f>"245-3920"</f>
        <v>245-3920</v>
      </c>
      <c r="B1814" t="s">
        <v>6772</v>
      </c>
      <c r="C1814" t="str">
        <f>"8051"</f>
        <v>8051</v>
      </c>
      <c r="E1814" t="s">
        <v>4424</v>
      </c>
      <c r="F1814" t="s">
        <v>24</v>
      </c>
      <c r="G1814" t="s">
        <v>6773</v>
      </c>
      <c r="H1814" t="s">
        <v>17</v>
      </c>
      <c r="I1814" t="s">
        <v>18</v>
      </c>
      <c r="J1814" t="str">
        <f>"5143761620"</f>
        <v>5143761620</v>
      </c>
      <c r="K1814" t="s">
        <v>6774</v>
      </c>
      <c r="L1814" t="s">
        <v>88</v>
      </c>
      <c r="M1814" t="s">
        <v>21</v>
      </c>
    </row>
    <row r="1815" spans="1:13" x14ac:dyDescent="0.35">
      <c r="A1815" t="str">
        <f>"625-8834"</f>
        <v>625-8834</v>
      </c>
      <c r="B1815" t="s">
        <v>6775</v>
      </c>
      <c r="C1815" t="str">
        <f>"3070"</f>
        <v>3070</v>
      </c>
      <c r="E1815" t="s">
        <v>6776</v>
      </c>
      <c r="F1815" t="s">
        <v>24</v>
      </c>
      <c r="G1815" t="s">
        <v>6777</v>
      </c>
      <c r="H1815" t="s">
        <v>17</v>
      </c>
      <c r="I1815" t="s">
        <v>18</v>
      </c>
      <c r="J1815" t="str">
        <f>"5145505436"</f>
        <v>5145505436</v>
      </c>
      <c r="K1815" t="s">
        <v>6778</v>
      </c>
      <c r="L1815" t="s">
        <v>168</v>
      </c>
      <c r="M1815" t="s">
        <v>21</v>
      </c>
    </row>
    <row r="1816" spans="1:13" x14ac:dyDescent="0.35">
      <c r="A1816" t="str">
        <f>"626-1100"</f>
        <v>626-1100</v>
      </c>
      <c r="B1816" t="s">
        <v>6779</v>
      </c>
      <c r="C1816" t="str">
        <f>"6451"</f>
        <v>6451</v>
      </c>
      <c r="D1816" t="str">
        <f>"9"</f>
        <v>9</v>
      </c>
      <c r="E1816" t="s">
        <v>1276</v>
      </c>
      <c r="F1816" t="s">
        <v>24</v>
      </c>
      <c r="G1816" t="s">
        <v>6780</v>
      </c>
      <c r="H1816" t="s">
        <v>17</v>
      </c>
      <c r="I1816" t="s">
        <v>18</v>
      </c>
      <c r="J1816" t="str">
        <f>"4388721626"</f>
        <v>4388721626</v>
      </c>
      <c r="K1816" t="s">
        <v>6781</v>
      </c>
      <c r="L1816" t="s">
        <v>168</v>
      </c>
      <c r="M1816" t="s">
        <v>21</v>
      </c>
    </row>
    <row r="1817" spans="1:13" x14ac:dyDescent="0.35">
      <c r="A1817" t="str">
        <f>"626-3095"</f>
        <v>626-3095</v>
      </c>
      <c r="B1817" t="s">
        <v>6782</v>
      </c>
      <c r="C1817" t="str">
        <f>"6117"</f>
        <v>6117</v>
      </c>
      <c r="D1817" t="str">
        <f>"6117"</f>
        <v>6117</v>
      </c>
      <c r="E1817" t="s">
        <v>642</v>
      </c>
      <c r="F1817" t="s">
        <v>24</v>
      </c>
      <c r="G1817" t="s">
        <v>4038</v>
      </c>
      <c r="H1817" t="s">
        <v>17</v>
      </c>
      <c r="I1817" t="s">
        <v>18</v>
      </c>
      <c r="J1817" t="str">
        <f>"4384101865"</f>
        <v>4384101865</v>
      </c>
      <c r="K1817" t="s">
        <v>6783</v>
      </c>
      <c r="L1817" t="s">
        <v>869</v>
      </c>
      <c r="M1817" t="s">
        <v>21</v>
      </c>
    </row>
    <row r="1818" spans="1:13" x14ac:dyDescent="0.35">
      <c r="A1818" t="str">
        <f>"174-1610"</f>
        <v>174-1610</v>
      </c>
      <c r="B1818" t="s">
        <v>6784</v>
      </c>
      <c r="C1818" t="str">
        <f>"6940"</f>
        <v>6940</v>
      </c>
      <c r="D1818" t="str">
        <f>"1"</f>
        <v>1</v>
      </c>
      <c r="E1818" t="s">
        <v>6785</v>
      </c>
      <c r="F1818" t="s">
        <v>24</v>
      </c>
      <c r="G1818" t="s">
        <v>6786</v>
      </c>
      <c r="H1818" t="s">
        <v>17</v>
      </c>
      <c r="I1818" t="s">
        <v>18</v>
      </c>
      <c r="J1818" t="str">
        <f>"5149528669"</f>
        <v>5149528669</v>
      </c>
      <c r="K1818" t="s">
        <v>6787</v>
      </c>
      <c r="L1818" t="s">
        <v>869</v>
      </c>
      <c r="M1818" t="s">
        <v>21</v>
      </c>
    </row>
    <row r="1819" spans="1:13" x14ac:dyDescent="0.35">
      <c r="A1819" t="str">
        <f>"242-5302"</f>
        <v>242-5302</v>
      </c>
      <c r="B1819" t="s">
        <v>6788</v>
      </c>
      <c r="C1819" t="str">
        <f>"11048"</f>
        <v>11048</v>
      </c>
      <c r="D1819" t="str">
        <f>"101"</f>
        <v>101</v>
      </c>
      <c r="E1819" t="s">
        <v>3778</v>
      </c>
      <c r="F1819" t="s">
        <v>24</v>
      </c>
      <c r="G1819" t="s">
        <v>6789</v>
      </c>
      <c r="H1819" t="s">
        <v>17</v>
      </c>
      <c r="I1819" t="s">
        <v>18</v>
      </c>
      <c r="J1819" t="str">
        <f>"4389250653"</f>
        <v>4389250653</v>
      </c>
      <c r="K1819" t="s">
        <v>6790</v>
      </c>
      <c r="L1819" t="s">
        <v>27</v>
      </c>
      <c r="M1819" t="s">
        <v>21</v>
      </c>
    </row>
    <row r="1820" spans="1:13" x14ac:dyDescent="0.35">
      <c r="A1820" t="str">
        <f>"243-2384"</f>
        <v>243-2384</v>
      </c>
      <c r="B1820" t="s">
        <v>6791</v>
      </c>
      <c r="C1820" t="str">
        <f>"11134"</f>
        <v>11134</v>
      </c>
      <c r="D1820" t="str">
        <f>"1"</f>
        <v>1</v>
      </c>
      <c r="E1820" t="s">
        <v>6032</v>
      </c>
      <c r="F1820" t="s">
        <v>24</v>
      </c>
      <c r="G1820" t="s">
        <v>6033</v>
      </c>
      <c r="H1820" t="s">
        <v>17</v>
      </c>
      <c r="I1820" t="s">
        <v>18</v>
      </c>
      <c r="J1820" t="str">
        <f>"4382291078"</f>
        <v>4382291078</v>
      </c>
      <c r="K1820" t="s">
        <v>6792</v>
      </c>
      <c r="L1820" t="s">
        <v>396</v>
      </c>
      <c r="M1820" t="s">
        <v>21</v>
      </c>
    </row>
    <row r="1821" spans="1:13" x14ac:dyDescent="0.35">
      <c r="A1821" t="str">
        <f>"243-2435"</f>
        <v>243-2435</v>
      </c>
      <c r="B1821" t="s">
        <v>6793</v>
      </c>
      <c r="C1821" t="str">
        <f>"10470"</f>
        <v>10470</v>
      </c>
      <c r="D1821" t="str">
        <f>"1"</f>
        <v>1</v>
      </c>
      <c r="E1821" t="s">
        <v>3562</v>
      </c>
      <c r="F1821" t="s">
        <v>24</v>
      </c>
      <c r="G1821" t="s">
        <v>3563</v>
      </c>
      <c r="H1821" t="s">
        <v>17</v>
      </c>
      <c r="I1821" t="s">
        <v>18</v>
      </c>
      <c r="J1821" t="str">
        <f>"5142248467"</f>
        <v>5142248467</v>
      </c>
      <c r="K1821" t="s">
        <v>6794</v>
      </c>
      <c r="L1821" t="s">
        <v>86</v>
      </c>
      <c r="M1821" t="s">
        <v>21</v>
      </c>
    </row>
    <row r="1822" spans="1:13" x14ac:dyDescent="0.35">
      <c r="A1822" t="str">
        <f>"243-3766"</f>
        <v>243-3766</v>
      </c>
      <c r="B1822" t="s">
        <v>6795</v>
      </c>
      <c r="C1822" t="str">
        <f>"8385"</f>
        <v>8385</v>
      </c>
      <c r="D1822" t="str">
        <f>"3"</f>
        <v>3</v>
      </c>
      <c r="E1822" t="s">
        <v>2812</v>
      </c>
      <c r="F1822" t="s">
        <v>24</v>
      </c>
      <c r="G1822" t="s">
        <v>6796</v>
      </c>
      <c r="H1822" t="s">
        <v>17</v>
      </c>
      <c r="I1822" t="s">
        <v>18</v>
      </c>
      <c r="J1822" t="str">
        <f>"5149800913"</f>
        <v>5149800913</v>
      </c>
      <c r="K1822" t="s">
        <v>6797</v>
      </c>
      <c r="L1822" t="s">
        <v>220</v>
      </c>
      <c r="M1822" t="s">
        <v>21</v>
      </c>
    </row>
    <row r="1823" spans="1:13" x14ac:dyDescent="0.35">
      <c r="A1823" t="str">
        <f>"243-4002"</f>
        <v>243-4002</v>
      </c>
      <c r="B1823" t="s">
        <v>6798</v>
      </c>
      <c r="C1823" t="str">
        <f>"2670"</f>
        <v>2670</v>
      </c>
      <c r="E1823" t="s">
        <v>6799</v>
      </c>
      <c r="F1823" t="s">
        <v>24</v>
      </c>
      <c r="G1823" t="s">
        <v>6800</v>
      </c>
      <c r="H1823" t="s">
        <v>17</v>
      </c>
      <c r="I1823" t="s">
        <v>18</v>
      </c>
      <c r="J1823" t="str">
        <f>"4384963727"</f>
        <v>4384963727</v>
      </c>
      <c r="K1823" t="s">
        <v>6801</v>
      </c>
      <c r="L1823" t="s">
        <v>438</v>
      </c>
      <c r="M1823" t="s">
        <v>21</v>
      </c>
    </row>
    <row r="1824" spans="1:13" x14ac:dyDescent="0.35">
      <c r="A1824" t="str">
        <f>"245-1663"</f>
        <v>245-1663</v>
      </c>
      <c r="B1824" t="s">
        <v>6802</v>
      </c>
      <c r="C1824" t="str">
        <f>"4339"</f>
        <v>4339</v>
      </c>
      <c r="D1824" t="str">
        <f>"4339"</f>
        <v>4339</v>
      </c>
      <c r="E1824" t="s">
        <v>6803</v>
      </c>
      <c r="F1824" t="s">
        <v>24</v>
      </c>
      <c r="G1824" t="s">
        <v>6804</v>
      </c>
      <c r="H1824" t="s">
        <v>17</v>
      </c>
      <c r="I1824" t="s">
        <v>18</v>
      </c>
      <c r="J1824" t="str">
        <f>"5143603105"</f>
        <v>5143603105</v>
      </c>
      <c r="K1824" t="s">
        <v>6805</v>
      </c>
      <c r="L1824" t="s">
        <v>86</v>
      </c>
      <c r="M1824" t="s">
        <v>21</v>
      </c>
    </row>
    <row r="1825" spans="1:13" x14ac:dyDescent="0.35">
      <c r="A1825" t="str">
        <f>"245-2059"</f>
        <v>245-2059</v>
      </c>
      <c r="B1825" t="s">
        <v>6806</v>
      </c>
      <c r="C1825" t="str">
        <f>"5924"</f>
        <v>5924</v>
      </c>
      <c r="E1825" t="s">
        <v>125</v>
      </c>
      <c r="F1825" t="s">
        <v>24</v>
      </c>
      <c r="G1825" t="s">
        <v>6807</v>
      </c>
      <c r="H1825" t="s">
        <v>17</v>
      </c>
      <c r="I1825" t="s">
        <v>18</v>
      </c>
      <c r="J1825" t="str">
        <f>"4383733528"</f>
        <v>4383733528</v>
      </c>
      <c r="K1825" t="s">
        <v>6808</v>
      </c>
      <c r="L1825" t="s">
        <v>86</v>
      </c>
      <c r="M1825" t="s">
        <v>21</v>
      </c>
    </row>
    <row r="1826" spans="1:13" x14ac:dyDescent="0.35">
      <c r="A1826" t="str">
        <f>"627-4662"</f>
        <v>627-4662</v>
      </c>
      <c r="B1826" t="s">
        <v>6809</v>
      </c>
      <c r="C1826" t="str">
        <f>"6537"</f>
        <v>6537</v>
      </c>
      <c r="E1826" t="s">
        <v>3038</v>
      </c>
      <c r="F1826" t="s">
        <v>24</v>
      </c>
      <c r="G1826" t="s">
        <v>6810</v>
      </c>
      <c r="H1826" t="s">
        <v>17</v>
      </c>
      <c r="I1826" t="s">
        <v>18</v>
      </c>
      <c r="J1826" t="str">
        <f>"5148135086"</f>
        <v>5148135086</v>
      </c>
      <c r="K1826" t="s">
        <v>6811</v>
      </c>
      <c r="L1826" t="s">
        <v>76</v>
      </c>
      <c r="M1826" t="s">
        <v>21</v>
      </c>
    </row>
    <row r="1827" spans="1:13" x14ac:dyDescent="0.35">
      <c r="A1827" t="str">
        <f>"204-9722"</f>
        <v>204-9722</v>
      </c>
      <c r="B1827" t="s">
        <v>6812</v>
      </c>
      <c r="C1827" t="str">
        <f>"123"</f>
        <v>123</v>
      </c>
      <c r="E1827" t="s">
        <v>6813</v>
      </c>
      <c r="F1827" t="s">
        <v>157</v>
      </c>
      <c r="G1827" t="s">
        <v>6814</v>
      </c>
      <c r="H1827" t="s">
        <v>17</v>
      </c>
      <c r="I1827" t="s">
        <v>18</v>
      </c>
      <c r="J1827" t="str">
        <f>"5149800302"</f>
        <v>5149800302</v>
      </c>
      <c r="K1827" t="s">
        <v>6815</v>
      </c>
      <c r="L1827" t="s">
        <v>4004</v>
      </c>
      <c r="M1827" t="s">
        <v>21</v>
      </c>
    </row>
    <row r="1828" spans="1:13" x14ac:dyDescent="0.35">
      <c r="A1828" t="str">
        <f>"628-4320"</f>
        <v>628-4320</v>
      </c>
      <c r="B1828" t="s">
        <v>6816</v>
      </c>
      <c r="C1828" t="str">
        <f>"3130"</f>
        <v>3130</v>
      </c>
      <c r="D1828" t="str">
        <f>"102"</f>
        <v>102</v>
      </c>
      <c r="E1828" t="s">
        <v>4288</v>
      </c>
      <c r="F1828" t="s">
        <v>24</v>
      </c>
      <c r="G1828" t="s">
        <v>6817</v>
      </c>
      <c r="H1828" t="s">
        <v>17</v>
      </c>
      <c r="I1828" t="s">
        <v>18</v>
      </c>
      <c r="J1828" t="str">
        <f>"4389887380"</f>
        <v>4389887380</v>
      </c>
      <c r="K1828" t="s">
        <v>6818</v>
      </c>
      <c r="L1828" t="s">
        <v>4004</v>
      </c>
      <c r="M1828" t="s">
        <v>21</v>
      </c>
    </row>
    <row r="1829" spans="1:13" x14ac:dyDescent="0.35">
      <c r="A1829" t="str">
        <f>"133-0689"</f>
        <v>133-0689</v>
      </c>
      <c r="B1829" t="s">
        <v>6819</v>
      </c>
      <c r="C1829" t="str">
        <f>"2677"</f>
        <v>2677</v>
      </c>
      <c r="D1829" t="str">
        <f>"6"</f>
        <v>6</v>
      </c>
      <c r="E1829" t="s">
        <v>6820</v>
      </c>
      <c r="F1829" t="s">
        <v>24</v>
      </c>
      <c r="G1829" t="s">
        <v>6821</v>
      </c>
      <c r="H1829" t="s">
        <v>17</v>
      </c>
      <c r="I1829" t="s">
        <v>18</v>
      </c>
      <c r="J1829" t="str">
        <f>"4388858407"</f>
        <v>4388858407</v>
      </c>
      <c r="K1829" t="s">
        <v>6822</v>
      </c>
      <c r="L1829" t="s">
        <v>4004</v>
      </c>
      <c r="M1829" t="s">
        <v>21</v>
      </c>
    </row>
    <row r="1830" spans="1:13" x14ac:dyDescent="0.35">
      <c r="A1830" t="str">
        <f>"245-5678"</f>
        <v>245-5678</v>
      </c>
      <c r="B1830" t="s">
        <v>6823</v>
      </c>
      <c r="C1830" t="str">
        <f>"1935"</f>
        <v>1935</v>
      </c>
      <c r="D1830" t="str">
        <f>"1"</f>
        <v>1</v>
      </c>
      <c r="E1830" t="s">
        <v>1966</v>
      </c>
      <c r="F1830" t="s">
        <v>24</v>
      </c>
      <c r="G1830" t="s">
        <v>6824</v>
      </c>
      <c r="H1830" t="s">
        <v>17</v>
      </c>
      <c r="I1830" t="s">
        <v>18</v>
      </c>
      <c r="J1830" t="str">
        <f>"5142910310"</f>
        <v>5142910310</v>
      </c>
      <c r="K1830" t="s">
        <v>6825</v>
      </c>
      <c r="L1830" t="s">
        <v>4004</v>
      </c>
      <c r="M1830" t="s">
        <v>21</v>
      </c>
    </row>
    <row r="1831" spans="1:13" x14ac:dyDescent="0.35">
      <c r="A1831" t="str">
        <f>"229-2997"</f>
        <v>229-2997</v>
      </c>
      <c r="B1831" t="s">
        <v>6826</v>
      </c>
      <c r="C1831" t="str">
        <f>"5912"</f>
        <v>5912</v>
      </c>
      <c r="E1831" t="s">
        <v>28</v>
      </c>
      <c r="F1831" t="s">
        <v>24</v>
      </c>
      <c r="G1831" t="s">
        <v>6827</v>
      </c>
      <c r="H1831" t="s">
        <v>17</v>
      </c>
      <c r="I1831" t="s">
        <v>18</v>
      </c>
      <c r="J1831" t="str">
        <f>"4388824813"</f>
        <v>4388824813</v>
      </c>
      <c r="K1831" t="s">
        <v>6828</v>
      </c>
      <c r="L1831" t="s">
        <v>86</v>
      </c>
      <c r="M1831" t="s">
        <v>21</v>
      </c>
    </row>
    <row r="1832" spans="1:13" x14ac:dyDescent="0.35">
      <c r="A1832" t="str">
        <f>"245-4413"</f>
        <v>245-4413</v>
      </c>
      <c r="B1832" t="s">
        <v>6829</v>
      </c>
      <c r="C1832" t="str">
        <f>"5111"</f>
        <v>5111</v>
      </c>
      <c r="D1832" t="str">
        <f>"706D"</f>
        <v>706D</v>
      </c>
      <c r="E1832" t="s">
        <v>597</v>
      </c>
      <c r="F1832" t="s">
        <v>24</v>
      </c>
      <c r="G1832" t="s">
        <v>6830</v>
      </c>
      <c r="H1832" t="s">
        <v>17</v>
      </c>
      <c r="I1832" t="s">
        <v>18</v>
      </c>
      <c r="J1832" t="str">
        <f>"5149771665"</f>
        <v>5149771665</v>
      </c>
      <c r="K1832" t="s">
        <v>6831</v>
      </c>
      <c r="L1832" t="s">
        <v>2497</v>
      </c>
      <c r="M1832" t="s">
        <v>21</v>
      </c>
    </row>
    <row r="1833" spans="1:13" x14ac:dyDescent="0.35">
      <c r="A1833" t="str">
        <f>"135-5745"</f>
        <v>135-5745</v>
      </c>
      <c r="B1833" t="s">
        <v>6832</v>
      </c>
      <c r="C1833" t="str">
        <f>"1575"</f>
        <v>1575</v>
      </c>
      <c r="E1833" t="s">
        <v>6833</v>
      </c>
      <c r="F1833" t="s">
        <v>2149</v>
      </c>
      <c r="G1833" t="s">
        <v>6834</v>
      </c>
      <c r="H1833" t="s">
        <v>17</v>
      </c>
      <c r="I1833" t="s">
        <v>18</v>
      </c>
      <c r="J1833" t="str">
        <f>"5147094787"</f>
        <v>5147094787</v>
      </c>
      <c r="K1833" t="s">
        <v>6835</v>
      </c>
      <c r="L1833" t="s">
        <v>1509</v>
      </c>
      <c r="M1833" t="s">
        <v>21</v>
      </c>
    </row>
    <row r="1834" spans="1:13" x14ac:dyDescent="0.35">
      <c r="A1834" t="str">
        <f>"243-7790"</f>
        <v>243-7790</v>
      </c>
      <c r="B1834" t="s">
        <v>6836</v>
      </c>
      <c r="I1834" t="s">
        <v>3666</v>
      </c>
      <c r="J1834" t="str">
        <f>"5143761620"</f>
        <v>5143761620</v>
      </c>
      <c r="K1834" t="s">
        <v>6837</v>
      </c>
      <c r="L1834" t="s">
        <v>168</v>
      </c>
      <c r="M1834" t="s">
        <v>21</v>
      </c>
    </row>
    <row r="1835" spans="1:13" x14ac:dyDescent="0.35">
      <c r="A1835" t="str">
        <f>"246-2259"</f>
        <v>246-2259</v>
      </c>
      <c r="B1835" t="s">
        <v>6838</v>
      </c>
      <c r="C1835" t="str">
        <f>"9380"</f>
        <v>9380</v>
      </c>
      <c r="D1835" t="str">
        <f>"301"</f>
        <v>301</v>
      </c>
      <c r="E1835" t="s">
        <v>6839</v>
      </c>
      <c r="F1835" t="s">
        <v>24</v>
      </c>
      <c r="G1835" t="s">
        <v>6840</v>
      </c>
      <c r="H1835" t="s">
        <v>17</v>
      </c>
      <c r="I1835" t="s">
        <v>18</v>
      </c>
      <c r="J1835" t="str">
        <f>"4389789645"</f>
        <v>4389789645</v>
      </c>
      <c r="K1835" t="s">
        <v>6841</v>
      </c>
      <c r="L1835" t="s">
        <v>98</v>
      </c>
      <c r="M1835" t="s">
        <v>21</v>
      </c>
    </row>
    <row r="1836" spans="1:13" x14ac:dyDescent="0.35">
      <c r="A1836" t="str">
        <f>"125-1849"</f>
        <v>125-1849</v>
      </c>
      <c r="B1836" t="s">
        <v>6842</v>
      </c>
      <c r="C1836" t="str">
        <f>"5053"</f>
        <v>5053</v>
      </c>
      <c r="E1836" t="s">
        <v>6843</v>
      </c>
      <c r="F1836" t="s">
        <v>24</v>
      </c>
      <c r="G1836" t="s">
        <v>6844</v>
      </c>
      <c r="H1836" t="s">
        <v>17</v>
      </c>
      <c r="I1836" t="s">
        <v>18</v>
      </c>
      <c r="J1836" t="str">
        <f>"5144310498"</f>
        <v>5144310498</v>
      </c>
      <c r="K1836" t="s">
        <v>6845</v>
      </c>
      <c r="L1836" t="s">
        <v>2497</v>
      </c>
      <c r="M1836" t="s">
        <v>21</v>
      </c>
    </row>
    <row r="1837" spans="1:13" x14ac:dyDescent="0.35">
      <c r="A1837" t="str">
        <f>"628-0191"</f>
        <v>628-0191</v>
      </c>
      <c r="B1837" t="s">
        <v>6846</v>
      </c>
      <c r="C1837" t="str">
        <f>"3525"</f>
        <v>3525</v>
      </c>
      <c r="D1837" t="str">
        <f>"1"</f>
        <v>1</v>
      </c>
      <c r="E1837" t="s">
        <v>6847</v>
      </c>
      <c r="F1837" t="s">
        <v>54</v>
      </c>
      <c r="G1837" t="s">
        <v>6848</v>
      </c>
      <c r="H1837" t="s">
        <v>17</v>
      </c>
      <c r="I1837" t="s">
        <v>18</v>
      </c>
      <c r="J1837" t="str">
        <f>"4382273327"</f>
        <v>4382273327</v>
      </c>
      <c r="K1837" t="s">
        <v>6849</v>
      </c>
      <c r="L1837" t="s">
        <v>2497</v>
      </c>
      <c r="M1837" t="s">
        <v>21</v>
      </c>
    </row>
    <row r="1838" spans="1:13" x14ac:dyDescent="0.35">
      <c r="A1838" t="str">
        <f>"621-4126"</f>
        <v>621-4126</v>
      </c>
      <c r="B1838" t="s">
        <v>6850</v>
      </c>
      <c r="C1838" t="str">
        <f>"174"</f>
        <v>174</v>
      </c>
      <c r="D1838" t="str">
        <f>"3"</f>
        <v>3</v>
      </c>
      <c r="E1838" t="s">
        <v>6851</v>
      </c>
      <c r="F1838" t="s">
        <v>6852</v>
      </c>
      <c r="G1838" t="s">
        <v>6853</v>
      </c>
      <c r="H1838" t="s">
        <v>17</v>
      </c>
      <c r="I1838" t="s">
        <v>18</v>
      </c>
      <c r="J1838" t="str">
        <f>"5147956494"</f>
        <v>5147956494</v>
      </c>
      <c r="K1838" t="s">
        <v>6854</v>
      </c>
      <c r="L1838" t="s">
        <v>98</v>
      </c>
      <c r="M1838" t="s">
        <v>21</v>
      </c>
    </row>
    <row r="1839" spans="1:13" x14ac:dyDescent="0.35">
      <c r="A1839" t="str">
        <f>"016-0531"</f>
        <v>016-0531</v>
      </c>
      <c r="B1839" t="s">
        <v>6855</v>
      </c>
      <c r="C1839" t="str">
        <f>"69"</f>
        <v>69</v>
      </c>
      <c r="D1839" t="str">
        <f>"10"</f>
        <v>10</v>
      </c>
      <c r="E1839" t="s">
        <v>3722</v>
      </c>
      <c r="F1839" t="s">
        <v>6856</v>
      </c>
      <c r="G1839" t="s">
        <v>6857</v>
      </c>
      <c r="H1839" t="s">
        <v>17</v>
      </c>
      <c r="I1839" t="s">
        <v>18</v>
      </c>
      <c r="J1839" t="str">
        <f>"4383345826"</f>
        <v>4383345826</v>
      </c>
      <c r="K1839" t="s">
        <v>6858</v>
      </c>
      <c r="L1839" t="s">
        <v>98</v>
      </c>
      <c r="M1839" t="s">
        <v>21</v>
      </c>
    </row>
    <row r="1840" spans="1:13" x14ac:dyDescent="0.35">
      <c r="A1840" t="str">
        <f>"247-2249"</f>
        <v>247-2249</v>
      </c>
      <c r="B1840" t="s">
        <v>6859</v>
      </c>
      <c r="C1840" t="str">
        <f>"6075"</f>
        <v>6075</v>
      </c>
      <c r="E1840" t="s">
        <v>1780</v>
      </c>
      <c r="F1840" t="s">
        <v>24</v>
      </c>
      <c r="G1840" t="s">
        <v>6860</v>
      </c>
      <c r="H1840" t="s">
        <v>17</v>
      </c>
      <c r="I1840" t="s">
        <v>18</v>
      </c>
      <c r="J1840" t="str">
        <f>"5143514112"</f>
        <v>5143514112</v>
      </c>
      <c r="K1840" t="s">
        <v>6861</v>
      </c>
      <c r="L1840" t="s">
        <v>86</v>
      </c>
      <c r="M1840" t="s">
        <v>21</v>
      </c>
    </row>
    <row r="1841" spans="1:13" x14ac:dyDescent="0.35">
      <c r="A1841" t="str">
        <f>"626-6610"</f>
        <v>626-6610</v>
      </c>
      <c r="B1841" t="s">
        <v>6862</v>
      </c>
      <c r="C1841" t="str">
        <f>"1400"</f>
        <v>1400</v>
      </c>
      <c r="D1841" t="str">
        <f>"602"</f>
        <v>602</v>
      </c>
      <c r="E1841" t="s">
        <v>6863</v>
      </c>
      <c r="F1841" t="s">
        <v>24</v>
      </c>
      <c r="G1841" t="s">
        <v>6864</v>
      </c>
      <c r="H1841" t="s">
        <v>17</v>
      </c>
      <c r="I1841" t="s">
        <v>18</v>
      </c>
      <c r="J1841" t="str">
        <f>"4389789858"</f>
        <v>4389789858</v>
      </c>
      <c r="K1841" t="s">
        <v>6865</v>
      </c>
      <c r="L1841" t="s">
        <v>2497</v>
      </c>
      <c r="M1841" t="s">
        <v>21</v>
      </c>
    </row>
    <row r="1842" spans="1:13" x14ac:dyDescent="0.35">
      <c r="A1842" t="str">
        <f>"948-1019"</f>
        <v>948-1019</v>
      </c>
      <c r="B1842" t="s">
        <v>6866</v>
      </c>
      <c r="C1842" t="str">
        <f>"108"</f>
        <v>108</v>
      </c>
      <c r="E1842" t="s">
        <v>6867</v>
      </c>
      <c r="F1842" t="s">
        <v>1512</v>
      </c>
      <c r="G1842" t="s">
        <v>6868</v>
      </c>
      <c r="H1842" t="s">
        <v>17</v>
      </c>
      <c r="I1842" t="s">
        <v>18</v>
      </c>
      <c r="J1842" t="str">
        <f>"5149281886"</f>
        <v>5149281886</v>
      </c>
      <c r="K1842" t="s">
        <v>6869</v>
      </c>
      <c r="L1842" t="s">
        <v>98</v>
      </c>
      <c r="M1842" t="s">
        <v>21</v>
      </c>
    </row>
    <row r="1843" spans="1:13" x14ac:dyDescent="0.35">
      <c r="A1843" t="str">
        <f>"246-9389"</f>
        <v>246-9389</v>
      </c>
      <c r="B1843" t="s">
        <v>6870</v>
      </c>
      <c r="C1843" t="str">
        <f>"975"</f>
        <v>975</v>
      </c>
      <c r="D1843" t="str">
        <f>"210"</f>
        <v>210</v>
      </c>
      <c r="E1843" t="s">
        <v>6871</v>
      </c>
      <c r="F1843" t="s">
        <v>24</v>
      </c>
      <c r="G1843" t="s">
        <v>6872</v>
      </c>
      <c r="H1843" t="s">
        <v>17</v>
      </c>
      <c r="I1843" t="s">
        <v>18</v>
      </c>
      <c r="J1843" t="str">
        <f>"5145129498"</f>
        <v>5145129498</v>
      </c>
      <c r="K1843" t="s">
        <v>6873</v>
      </c>
      <c r="L1843" t="s">
        <v>2497</v>
      </c>
      <c r="M1843" t="s">
        <v>21</v>
      </c>
    </row>
    <row r="1844" spans="1:13" x14ac:dyDescent="0.35">
      <c r="A1844" t="str">
        <f>"248-0243"</f>
        <v>248-0243</v>
      </c>
      <c r="B1844" t="s">
        <v>6875</v>
      </c>
      <c r="C1844" t="str">
        <f>"391"</f>
        <v>391</v>
      </c>
      <c r="E1844" t="s">
        <v>6876</v>
      </c>
      <c r="F1844" t="s">
        <v>54</v>
      </c>
      <c r="G1844" t="s">
        <v>6877</v>
      </c>
      <c r="H1844" t="s">
        <v>17</v>
      </c>
      <c r="I1844" t="s">
        <v>18</v>
      </c>
      <c r="J1844" t="str">
        <f>"4502330852"</f>
        <v>4502330852</v>
      </c>
      <c r="K1844" t="s">
        <v>6878</v>
      </c>
      <c r="L1844" t="s">
        <v>98</v>
      </c>
      <c r="M1844" t="s">
        <v>21</v>
      </c>
    </row>
    <row r="1845" spans="1:13" x14ac:dyDescent="0.35">
      <c r="A1845" t="str">
        <f>"242-6184"</f>
        <v>242-6184</v>
      </c>
      <c r="B1845" t="s">
        <v>6879</v>
      </c>
      <c r="C1845" t="str">
        <f>"4315"</f>
        <v>4315</v>
      </c>
      <c r="D1845" t="str">
        <f>"304"</f>
        <v>304</v>
      </c>
      <c r="E1845" t="s">
        <v>6880</v>
      </c>
      <c r="F1845" t="s">
        <v>24</v>
      </c>
      <c r="G1845" t="s">
        <v>3109</v>
      </c>
      <c r="H1845" t="s">
        <v>17</v>
      </c>
      <c r="I1845" t="s">
        <v>18</v>
      </c>
      <c r="J1845" t="str">
        <f>"4384597541"</f>
        <v>4384597541</v>
      </c>
      <c r="K1845" t="s">
        <v>6881</v>
      </c>
      <c r="L1845" t="s">
        <v>86</v>
      </c>
      <c r="M1845" t="s">
        <v>21</v>
      </c>
    </row>
    <row r="1846" spans="1:13" x14ac:dyDescent="0.35">
      <c r="A1846" t="str">
        <f>"248-5967"</f>
        <v>248-5967</v>
      </c>
      <c r="B1846" t="s">
        <v>6883</v>
      </c>
      <c r="C1846" t="str">
        <f>"1100"</f>
        <v>1100</v>
      </c>
      <c r="E1846" t="s">
        <v>6884</v>
      </c>
      <c r="F1846" t="s">
        <v>54</v>
      </c>
      <c r="G1846" t="s">
        <v>6885</v>
      </c>
      <c r="H1846" t="s">
        <v>17</v>
      </c>
      <c r="I1846" t="s">
        <v>18</v>
      </c>
      <c r="J1846" t="str">
        <f>"5144490809"</f>
        <v>5144490809</v>
      </c>
      <c r="K1846" t="s">
        <v>6886</v>
      </c>
      <c r="L1846" t="s">
        <v>98</v>
      </c>
      <c r="M1846" t="s">
        <v>21</v>
      </c>
    </row>
    <row r="1847" spans="1:13" x14ac:dyDescent="0.35">
      <c r="A1847" t="str">
        <f>"248-7284"</f>
        <v>248-7284</v>
      </c>
      <c r="B1847" t="s">
        <v>6887</v>
      </c>
      <c r="C1847" t="str">
        <f>"4416"</f>
        <v>4416</v>
      </c>
      <c r="E1847" t="s">
        <v>1449</v>
      </c>
      <c r="F1847" t="s">
        <v>24</v>
      </c>
      <c r="G1847" t="s">
        <v>2948</v>
      </c>
      <c r="H1847" t="s">
        <v>17</v>
      </c>
      <c r="I1847" t="s">
        <v>18</v>
      </c>
      <c r="J1847" t="str">
        <f>"4385072811"</f>
        <v>4385072811</v>
      </c>
      <c r="K1847" t="s">
        <v>6888</v>
      </c>
      <c r="L1847" t="s">
        <v>86</v>
      </c>
      <c r="M1847" t="s">
        <v>21</v>
      </c>
    </row>
    <row r="1848" spans="1:13" x14ac:dyDescent="0.35">
      <c r="A1848" t="str">
        <f>"248-1859"</f>
        <v>248-1859</v>
      </c>
      <c r="B1848" t="s">
        <v>6889</v>
      </c>
      <c r="C1848" t="str">
        <f>"7284"</f>
        <v>7284</v>
      </c>
      <c r="E1848" t="s">
        <v>6890</v>
      </c>
      <c r="F1848" t="s">
        <v>24</v>
      </c>
      <c r="G1848" t="s">
        <v>6891</v>
      </c>
      <c r="H1848" t="s">
        <v>17</v>
      </c>
      <c r="I1848" t="s">
        <v>18</v>
      </c>
      <c r="J1848" t="str">
        <f>"5149745008"</f>
        <v>5149745008</v>
      </c>
      <c r="K1848" t="s">
        <v>6892</v>
      </c>
      <c r="L1848" t="s">
        <v>2497</v>
      </c>
      <c r="M1848" t="s">
        <v>21</v>
      </c>
    </row>
    <row r="1849" spans="1:13" x14ac:dyDescent="0.35">
      <c r="A1849" t="str">
        <f>"241-9400"</f>
        <v>241-9400</v>
      </c>
      <c r="B1849" t="s">
        <v>6893</v>
      </c>
      <c r="C1849" t="str">
        <f>"2381"</f>
        <v>2381</v>
      </c>
      <c r="D1849" t="str">
        <f>"4"</f>
        <v>4</v>
      </c>
      <c r="E1849" t="s">
        <v>651</v>
      </c>
      <c r="F1849" t="s">
        <v>24</v>
      </c>
      <c r="G1849" t="s">
        <v>6894</v>
      </c>
      <c r="H1849" t="s">
        <v>17</v>
      </c>
      <c r="I1849" t="s">
        <v>18</v>
      </c>
      <c r="J1849" t="str">
        <f>"5148032605"</f>
        <v>5148032605</v>
      </c>
      <c r="K1849" t="s">
        <v>6895</v>
      </c>
      <c r="L1849" t="s">
        <v>305</v>
      </c>
      <c r="M1849" t="s">
        <v>21</v>
      </c>
    </row>
    <row r="1850" spans="1:13" x14ac:dyDescent="0.35">
      <c r="A1850" t="str">
        <f>"245-5472"</f>
        <v>245-5472</v>
      </c>
      <c r="B1850" t="s">
        <v>6896</v>
      </c>
      <c r="C1850" t="str">
        <f>"3469"</f>
        <v>3469</v>
      </c>
      <c r="D1850" t="str">
        <f>"213"</f>
        <v>213</v>
      </c>
      <c r="E1850" t="s">
        <v>455</v>
      </c>
      <c r="F1850" t="s">
        <v>24</v>
      </c>
      <c r="G1850" t="s">
        <v>1097</v>
      </c>
      <c r="H1850" t="s">
        <v>17</v>
      </c>
      <c r="I1850" t="s">
        <v>18</v>
      </c>
      <c r="J1850" t="str">
        <f>"4385290909"</f>
        <v>4385290909</v>
      </c>
      <c r="K1850" t="s">
        <v>6897</v>
      </c>
      <c r="L1850" t="s">
        <v>2316</v>
      </c>
      <c r="M1850" t="s">
        <v>21</v>
      </c>
    </row>
    <row r="1851" spans="1:13" x14ac:dyDescent="0.35">
      <c r="A1851" t="str">
        <f>"247-8158"</f>
        <v>247-8158</v>
      </c>
      <c r="B1851" t="s">
        <v>6898</v>
      </c>
      <c r="C1851" t="str">
        <f>"925"</f>
        <v>925</v>
      </c>
      <c r="D1851" t="str">
        <f>"9"</f>
        <v>9</v>
      </c>
      <c r="E1851" t="s">
        <v>6007</v>
      </c>
      <c r="F1851" t="s">
        <v>24</v>
      </c>
      <c r="G1851" t="s">
        <v>6899</v>
      </c>
      <c r="H1851" t="s">
        <v>17</v>
      </c>
      <c r="I1851" t="s">
        <v>18</v>
      </c>
      <c r="J1851" t="str">
        <f>"5143761620"</f>
        <v>5143761620</v>
      </c>
      <c r="K1851" t="s">
        <v>6900</v>
      </c>
      <c r="L1851" t="s">
        <v>383</v>
      </c>
      <c r="M1851" t="s">
        <v>21</v>
      </c>
    </row>
    <row r="1852" spans="1:13" x14ac:dyDescent="0.35">
      <c r="A1852" t="str">
        <f>"628-6474"</f>
        <v>628-6474</v>
      </c>
      <c r="B1852" t="s">
        <v>6901</v>
      </c>
      <c r="C1852" t="str">
        <f>"432"</f>
        <v>432</v>
      </c>
      <c r="D1852" t="str">
        <f>"97"</f>
        <v>97</v>
      </c>
      <c r="E1852" t="s">
        <v>6902</v>
      </c>
      <c r="F1852" t="s">
        <v>54</v>
      </c>
      <c r="G1852" t="s">
        <v>6903</v>
      </c>
      <c r="H1852" t="s">
        <v>17</v>
      </c>
      <c r="I1852" t="s">
        <v>18</v>
      </c>
      <c r="J1852" t="str">
        <f>"4388767528"</f>
        <v>4388767528</v>
      </c>
      <c r="K1852" t="s">
        <v>6904</v>
      </c>
      <c r="L1852" t="s">
        <v>2497</v>
      </c>
      <c r="M1852" t="s">
        <v>21</v>
      </c>
    </row>
    <row r="1853" spans="1:13" x14ac:dyDescent="0.35">
      <c r="A1853" t="str">
        <f>"629-6752"</f>
        <v>629-6752</v>
      </c>
      <c r="B1853" t="s">
        <v>6905</v>
      </c>
      <c r="I1853" t="s">
        <v>3666</v>
      </c>
      <c r="J1853" t="str">
        <f>"5143761620"</f>
        <v>5143761620</v>
      </c>
      <c r="K1853" t="s">
        <v>6906</v>
      </c>
      <c r="L1853" t="s">
        <v>168</v>
      </c>
      <c r="M1853" t="s">
        <v>21</v>
      </c>
    </row>
    <row r="1854" spans="1:13" x14ac:dyDescent="0.35">
      <c r="A1854" t="str">
        <f>"629-5171"</f>
        <v>629-5171</v>
      </c>
      <c r="B1854" t="s">
        <v>6907</v>
      </c>
      <c r="I1854" t="s">
        <v>3666</v>
      </c>
      <c r="J1854" t="str">
        <f>"5143761620"</f>
        <v>5143761620</v>
      </c>
      <c r="K1854" t="s">
        <v>6908</v>
      </c>
      <c r="L1854" t="s">
        <v>168</v>
      </c>
      <c r="M1854" t="s">
        <v>21</v>
      </c>
    </row>
    <row r="1855" spans="1:13" x14ac:dyDescent="0.35">
      <c r="A1855" t="str">
        <f>"629-9265"</f>
        <v>629-9265</v>
      </c>
      <c r="B1855" t="s">
        <v>6909</v>
      </c>
      <c r="I1855" t="s">
        <v>3666</v>
      </c>
      <c r="J1855" t="str">
        <f>"0685953079"</f>
        <v>0685953079</v>
      </c>
      <c r="K1855" t="s">
        <v>6910</v>
      </c>
      <c r="L1855" t="s">
        <v>168</v>
      </c>
      <c r="M1855" t="s">
        <v>21</v>
      </c>
    </row>
    <row r="1856" spans="1:13" x14ac:dyDescent="0.35">
      <c r="A1856" t="str">
        <f>"629-9270"</f>
        <v>629-9270</v>
      </c>
      <c r="B1856" t="s">
        <v>6911</v>
      </c>
      <c r="C1856" t="str">
        <f>"3469"</f>
        <v>3469</v>
      </c>
      <c r="D1856" t="str">
        <f>"311"</f>
        <v>311</v>
      </c>
      <c r="E1856" t="s">
        <v>455</v>
      </c>
      <c r="F1856" t="s">
        <v>24</v>
      </c>
      <c r="G1856" t="s">
        <v>1097</v>
      </c>
      <c r="H1856" t="s">
        <v>17</v>
      </c>
      <c r="I1856" t="s">
        <v>18</v>
      </c>
      <c r="J1856" t="str">
        <f>"5143761620"</f>
        <v>5143761620</v>
      </c>
      <c r="K1856" t="s">
        <v>6912</v>
      </c>
      <c r="L1856" t="s">
        <v>168</v>
      </c>
      <c r="M1856" t="s">
        <v>21</v>
      </c>
    </row>
    <row r="1857" spans="1:13" x14ac:dyDescent="0.35">
      <c r="A1857" t="str">
        <f>"628-9557"</f>
        <v>628-9557</v>
      </c>
      <c r="B1857" t="s">
        <v>6913</v>
      </c>
      <c r="I1857" t="s">
        <v>3666</v>
      </c>
      <c r="J1857" t="str">
        <f>"5142336632"</f>
        <v>5142336632</v>
      </c>
      <c r="K1857" t="s">
        <v>6914</v>
      </c>
      <c r="L1857" t="s">
        <v>137</v>
      </c>
      <c r="M1857" t="s">
        <v>21</v>
      </c>
    </row>
    <row r="1858" spans="1:13" x14ac:dyDescent="0.35">
      <c r="A1858" t="str">
        <f>"629-5058"</f>
        <v>629-5058</v>
      </c>
      <c r="B1858" t="s">
        <v>6915</v>
      </c>
      <c r="C1858" t="str">
        <f>"3469"</f>
        <v>3469</v>
      </c>
      <c r="D1858" t="str">
        <f>"253"</f>
        <v>253</v>
      </c>
      <c r="E1858" t="s">
        <v>2245</v>
      </c>
      <c r="F1858" t="s">
        <v>24</v>
      </c>
      <c r="G1858" t="s">
        <v>1097</v>
      </c>
      <c r="H1858" t="s">
        <v>17</v>
      </c>
      <c r="I1858" t="s">
        <v>18</v>
      </c>
      <c r="J1858" t="str">
        <f>"5143761620"</f>
        <v>5143761620</v>
      </c>
      <c r="K1858" t="s">
        <v>6916</v>
      </c>
      <c r="L1858" t="s">
        <v>168</v>
      </c>
      <c r="M1858" t="s">
        <v>21</v>
      </c>
    </row>
    <row r="1859" spans="1:13" x14ac:dyDescent="0.35">
      <c r="A1859" t="str">
        <f>"629-5091"</f>
        <v>629-5091</v>
      </c>
      <c r="B1859" t="s">
        <v>6917</v>
      </c>
      <c r="I1859" t="s">
        <v>3666</v>
      </c>
      <c r="J1859" t="str">
        <f>"0609071310"</f>
        <v>0609071310</v>
      </c>
      <c r="K1859" t="s">
        <v>6918</v>
      </c>
      <c r="L1859" t="s">
        <v>168</v>
      </c>
      <c r="M1859" t="s">
        <v>21</v>
      </c>
    </row>
    <row r="1860" spans="1:13" x14ac:dyDescent="0.35">
      <c r="A1860" t="str">
        <f>"629-9264"</f>
        <v>629-9264</v>
      </c>
      <c r="B1860" t="s">
        <v>6919</v>
      </c>
      <c r="I1860" t="s">
        <v>3666</v>
      </c>
      <c r="J1860" t="str">
        <f>"0771766689"</f>
        <v>0771766689</v>
      </c>
      <c r="K1860" t="s">
        <v>6920</v>
      </c>
      <c r="L1860" t="s">
        <v>168</v>
      </c>
      <c r="M1860" t="s">
        <v>21</v>
      </c>
    </row>
    <row r="1861" spans="1:13" x14ac:dyDescent="0.35">
      <c r="A1861" t="str">
        <f>"629-9269"</f>
        <v>629-9269</v>
      </c>
      <c r="B1861" t="s">
        <v>6921</v>
      </c>
      <c r="C1861" t="str">
        <f>"4682"</f>
        <v>4682</v>
      </c>
      <c r="E1861" t="s">
        <v>6922</v>
      </c>
      <c r="F1861" t="s">
        <v>24</v>
      </c>
      <c r="G1861" t="s">
        <v>6923</v>
      </c>
      <c r="H1861" t="s">
        <v>17</v>
      </c>
      <c r="I1861" t="s">
        <v>18</v>
      </c>
      <c r="J1861" t="str">
        <f>"5143761620"</f>
        <v>5143761620</v>
      </c>
      <c r="K1861" t="s">
        <v>6924</v>
      </c>
      <c r="L1861" t="s">
        <v>168</v>
      </c>
      <c r="M1861" t="s">
        <v>21</v>
      </c>
    </row>
    <row r="1862" spans="1:13" x14ac:dyDescent="0.35">
      <c r="A1862" t="str">
        <f>"630-0701"</f>
        <v>630-0701</v>
      </c>
      <c r="B1862" t="s">
        <v>6925</v>
      </c>
      <c r="I1862" t="s">
        <v>3666</v>
      </c>
      <c r="J1862" t="str">
        <f>"0768714238"</f>
        <v>0768714238</v>
      </c>
      <c r="K1862" t="s">
        <v>6926</v>
      </c>
      <c r="L1862" t="s">
        <v>168</v>
      </c>
      <c r="M1862" t="s">
        <v>21</v>
      </c>
    </row>
    <row r="1863" spans="1:13" x14ac:dyDescent="0.35">
      <c r="A1863" t="str">
        <f>"630-3421"</f>
        <v>630-3421</v>
      </c>
      <c r="B1863" t="s">
        <v>6927</v>
      </c>
      <c r="C1863" t="str">
        <f>"6893"</f>
        <v>6893</v>
      </c>
      <c r="D1863" t="str">
        <f>"A"</f>
        <v>A</v>
      </c>
      <c r="E1863" t="s">
        <v>4710</v>
      </c>
      <c r="F1863" t="s">
        <v>24</v>
      </c>
      <c r="G1863" t="s">
        <v>6928</v>
      </c>
      <c r="H1863" t="s">
        <v>17</v>
      </c>
      <c r="I1863" t="s">
        <v>18</v>
      </c>
      <c r="J1863" t="str">
        <f>"5143761620"</f>
        <v>5143761620</v>
      </c>
      <c r="K1863" t="s">
        <v>6929</v>
      </c>
      <c r="L1863" t="s">
        <v>168</v>
      </c>
      <c r="M1863" t="s">
        <v>21</v>
      </c>
    </row>
    <row r="1864" spans="1:13" x14ac:dyDescent="0.35">
      <c r="A1864" t="str">
        <f>"249-9055"</f>
        <v>249-9055</v>
      </c>
      <c r="B1864" t="s">
        <v>6930</v>
      </c>
      <c r="C1864" t="str">
        <f>"5005"</f>
        <v>5005</v>
      </c>
      <c r="D1864" t="str">
        <f>"2"</f>
        <v>2</v>
      </c>
      <c r="E1864" t="s">
        <v>125</v>
      </c>
      <c r="F1864" t="s">
        <v>24</v>
      </c>
      <c r="G1864" t="s">
        <v>5077</v>
      </c>
      <c r="H1864" t="s">
        <v>17</v>
      </c>
      <c r="I1864" t="s">
        <v>18</v>
      </c>
      <c r="J1864" t="str">
        <f>"5145508261"</f>
        <v>5145508261</v>
      </c>
      <c r="K1864" t="s">
        <v>6931</v>
      </c>
      <c r="L1864" t="s">
        <v>2217</v>
      </c>
      <c r="M1864" t="s">
        <v>21</v>
      </c>
    </row>
    <row r="1865" spans="1:13" x14ac:dyDescent="0.35">
      <c r="A1865" t="str">
        <f>"249-9057"</f>
        <v>249-9057</v>
      </c>
      <c r="B1865" t="s">
        <v>6932</v>
      </c>
      <c r="C1865" t="str">
        <f>"6400"</f>
        <v>6400</v>
      </c>
      <c r="E1865" t="s">
        <v>169</v>
      </c>
      <c r="F1865" t="s">
        <v>24</v>
      </c>
      <c r="G1865" t="s">
        <v>170</v>
      </c>
      <c r="H1865" t="s">
        <v>17</v>
      </c>
      <c r="I1865" t="s">
        <v>18</v>
      </c>
      <c r="J1865" t="str">
        <f>"4385424073"</f>
        <v>4385424073</v>
      </c>
      <c r="K1865" t="s">
        <v>6933</v>
      </c>
      <c r="L1865" t="s">
        <v>2217</v>
      </c>
      <c r="M1865" t="s">
        <v>21</v>
      </c>
    </row>
    <row r="1866" spans="1:13" x14ac:dyDescent="0.35">
      <c r="A1866" t="str">
        <f>"249-9058"</f>
        <v>249-9058</v>
      </c>
      <c r="B1866" t="s">
        <v>6934</v>
      </c>
      <c r="C1866" t="str">
        <f>"6400"</f>
        <v>6400</v>
      </c>
      <c r="E1866" t="s">
        <v>169</v>
      </c>
      <c r="F1866" t="s">
        <v>24</v>
      </c>
      <c r="G1866" t="s">
        <v>170</v>
      </c>
      <c r="H1866" t="s">
        <v>17</v>
      </c>
      <c r="I1866" t="s">
        <v>18</v>
      </c>
      <c r="J1866" t="str">
        <f>"5143761620"</f>
        <v>5143761620</v>
      </c>
      <c r="K1866" t="s">
        <v>6935</v>
      </c>
      <c r="L1866" t="s">
        <v>2217</v>
      </c>
      <c r="M1866" t="s">
        <v>21</v>
      </c>
    </row>
    <row r="1867" spans="1:13" x14ac:dyDescent="0.35">
      <c r="A1867" t="str">
        <f>"249-9059"</f>
        <v>249-9059</v>
      </c>
      <c r="B1867" t="s">
        <v>6936</v>
      </c>
      <c r="C1867" t="str">
        <f>"3800"</f>
        <v>3800</v>
      </c>
      <c r="D1867" t="str">
        <f>"8"</f>
        <v>8</v>
      </c>
      <c r="E1867" t="s">
        <v>6937</v>
      </c>
      <c r="F1867" t="s">
        <v>24</v>
      </c>
      <c r="G1867" t="s">
        <v>6938</v>
      </c>
      <c r="H1867" t="s">
        <v>17</v>
      </c>
      <c r="I1867" t="s">
        <v>18</v>
      </c>
      <c r="J1867" t="str">
        <f>"4383080672"</f>
        <v>4383080672</v>
      </c>
      <c r="K1867" t="s">
        <v>6939</v>
      </c>
      <c r="L1867" t="s">
        <v>2217</v>
      </c>
      <c r="M1867" t="s">
        <v>21</v>
      </c>
    </row>
    <row r="1868" spans="1:13" x14ac:dyDescent="0.35">
      <c r="A1868" t="str">
        <f>"249-9060"</f>
        <v>249-9060</v>
      </c>
      <c r="B1868" t="s">
        <v>6940</v>
      </c>
      <c r="C1868" t="str">
        <f>"6400"</f>
        <v>6400</v>
      </c>
      <c r="E1868" t="s">
        <v>169</v>
      </c>
      <c r="F1868" t="s">
        <v>24</v>
      </c>
      <c r="G1868" t="s">
        <v>170</v>
      </c>
      <c r="H1868" t="s">
        <v>17</v>
      </c>
      <c r="I1868" t="s">
        <v>18</v>
      </c>
      <c r="J1868" t="str">
        <f>"5143761620"</f>
        <v>5143761620</v>
      </c>
      <c r="K1868" t="s">
        <v>6941</v>
      </c>
      <c r="L1868" t="s">
        <v>2217</v>
      </c>
      <c r="M1868" t="s">
        <v>21</v>
      </c>
    </row>
    <row r="1869" spans="1:13" x14ac:dyDescent="0.35">
      <c r="A1869" t="str">
        <f>"249-9062"</f>
        <v>249-9062</v>
      </c>
      <c r="B1869" t="s">
        <v>6942</v>
      </c>
      <c r="C1869" t="str">
        <f>"5605"</f>
        <v>5605</v>
      </c>
      <c r="D1869" t="str">
        <f>"301"</f>
        <v>301</v>
      </c>
      <c r="E1869" t="s">
        <v>6943</v>
      </c>
      <c r="F1869" t="s">
        <v>24</v>
      </c>
      <c r="G1869" t="s">
        <v>6944</v>
      </c>
      <c r="H1869" t="s">
        <v>17</v>
      </c>
      <c r="I1869" t="s">
        <v>18</v>
      </c>
      <c r="J1869" t="str">
        <f>"4386800421"</f>
        <v>4386800421</v>
      </c>
      <c r="K1869" t="s">
        <v>6945</v>
      </c>
      <c r="L1869" t="s">
        <v>2217</v>
      </c>
      <c r="M1869" t="s">
        <v>21</v>
      </c>
    </row>
    <row r="1870" spans="1:13" x14ac:dyDescent="0.35">
      <c r="A1870" t="str">
        <f>"249-9063"</f>
        <v>249-9063</v>
      </c>
      <c r="B1870" t="s">
        <v>6946</v>
      </c>
      <c r="C1870" t="str">
        <f>"3333"</f>
        <v>3333</v>
      </c>
      <c r="D1870" t="str">
        <f>"CH 149"</f>
        <v>CH 149</v>
      </c>
      <c r="E1870" t="s">
        <v>6947</v>
      </c>
      <c r="F1870" t="s">
        <v>24</v>
      </c>
      <c r="G1870" t="s">
        <v>6948</v>
      </c>
      <c r="H1870" t="s">
        <v>17</v>
      </c>
      <c r="I1870" t="s">
        <v>18</v>
      </c>
      <c r="J1870" t="str">
        <f>"2633802654"</f>
        <v>2633802654</v>
      </c>
      <c r="K1870" t="s">
        <v>6949</v>
      </c>
      <c r="L1870" t="s">
        <v>2217</v>
      </c>
      <c r="M1870" t="s">
        <v>21</v>
      </c>
    </row>
    <row r="1871" spans="1:13" x14ac:dyDescent="0.35">
      <c r="A1871" t="str">
        <f>"249-9065"</f>
        <v>249-9065</v>
      </c>
      <c r="B1871" t="s">
        <v>6950</v>
      </c>
      <c r="C1871" t="str">
        <f>"1800"</f>
        <v>1800</v>
      </c>
      <c r="D1871" t="str">
        <f>"10"</f>
        <v>10</v>
      </c>
      <c r="E1871" t="s">
        <v>2235</v>
      </c>
      <c r="F1871" t="s">
        <v>157</v>
      </c>
      <c r="G1871" t="s">
        <v>6951</v>
      </c>
      <c r="H1871" t="s">
        <v>17</v>
      </c>
      <c r="I1871" t="s">
        <v>18</v>
      </c>
      <c r="J1871" t="str">
        <f>"5146055606"</f>
        <v>5146055606</v>
      </c>
      <c r="K1871" t="s">
        <v>6952</v>
      </c>
      <c r="L1871" t="s">
        <v>2217</v>
      </c>
      <c r="M1871" t="s">
        <v>21</v>
      </c>
    </row>
    <row r="1872" spans="1:13" x14ac:dyDescent="0.35">
      <c r="A1872" t="str">
        <f>"249-9066"</f>
        <v>249-9066</v>
      </c>
      <c r="B1872" t="s">
        <v>6953</v>
      </c>
      <c r="C1872" t="str">
        <f>"11048"</f>
        <v>11048</v>
      </c>
      <c r="D1872" t="str">
        <f>"301"</f>
        <v>301</v>
      </c>
      <c r="E1872" t="s">
        <v>2239</v>
      </c>
      <c r="F1872" t="s">
        <v>24</v>
      </c>
      <c r="G1872" t="s">
        <v>6789</v>
      </c>
      <c r="H1872" t="s">
        <v>17</v>
      </c>
      <c r="I1872" t="s">
        <v>18</v>
      </c>
      <c r="J1872" t="str">
        <f>"5143761620"</f>
        <v>5143761620</v>
      </c>
      <c r="K1872" t="s">
        <v>6954</v>
      </c>
      <c r="L1872" t="s">
        <v>2217</v>
      </c>
      <c r="M1872" t="s">
        <v>21</v>
      </c>
    </row>
    <row r="1873" spans="1:13" x14ac:dyDescent="0.35">
      <c r="A1873" t="str">
        <f>"249-9067"</f>
        <v>249-9067</v>
      </c>
      <c r="B1873" t="s">
        <v>6955</v>
      </c>
      <c r="C1873" t="str">
        <f>"9511"</f>
        <v>9511</v>
      </c>
      <c r="D1873" t="str">
        <f>"9511"</f>
        <v>9511</v>
      </c>
      <c r="E1873" t="s">
        <v>6956</v>
      </c>
      <c r="F1873" t="s">
        <v>40</v>
      </c>
      <c r="G1873" t="s">
        <v>6957</v>
      </c>
      <c r="H1873" t="s">
        <v>17</v>
      </c>
      <c r="I1873" t="s">
        <v>18</v>
      </c>
      <c r="J1873" t="str">
        <f>"5143761620"</f>
        <v>5143761620</v>
      </c>
      <c r="K1873" t="s">
        <v>6958</v>
      </c>
      <c r="L1873" t="s">
        <v>2217</v>
      </c>
      <c r="M1873" t="s">
        <v>21</v>
      </c>
    </row>
    <row r="1874" spans="1:13" x14ac:dyDescent="0.35">
      <c r="A1874" t="str">
        <f>"629-5173"</f>
        <v>629-5173</v>
      </c>
      <c r="B1874" t="s">
        <v>6959</v>
      </c>
      <c r="C1874" t="str">
        <f>"2473"</f>
        <v>2473</v>
      </c>
      <c r="D1874" t="str">
        <f>"4"</f>
        <v>4</v>
      </c>
      <c r="E1874" t="s">
        <v>802</v>
      </c>
      <c r="F1874" t="s">
        <v>24</v>
      </c>
      <c r="G1874" t="s">
        <v>6960</v>
      </c>
      <c r="H1874" t="s">
        <v>17</v>
      </c>
      <c r="I1874" t="s">
        <v>18</v>
      </c>
      <c r="J1874" t="str">
        <f>"5143761620"</f>
        <v>5143761620</v>
      </c>
      <c r="K1874" t="s">
        <v>6961</v>
      </c>
      <c r="L1874" t="s">
        <v>168</v>
      </c>
      <c r="M1874" t="s">
        <v>21</v>
      </c>
    </row>
    <row r="1875" spans="1:13" x14ac:dyDescent="0.35">
      <c r="A1875" t="str">
        <f>"629-6687"</f>
        <v>629-6687</v>
      </c>
      <c r="B1875" t="s">
        <v>6962</v>
      </c>
      <c r="I1875" t="s">
        <v>3666</v>
      </c>
      <c r="J1875" t="str">
        <f>"0768439703"</f>
        <v>0768439703</v>
      </c>
      <c r="K1875" t="s">
        <v>6963</v>
      </c>
      <c r="L1875" t="s">
        <v>168</v>
      </c>
      <c r="M1875" t="s">
        <v>21</v>
      </c>
    </row>
    <row r="1876" spans="1:13" x14ac:dyDescent="0.35">
      <c r="A1876" t="str">
        <f>"629-9288"</f>
        <v>629-9288</v>
      </c>
      <c r="B1876" t="s">
        <v>6964</v>
      </c>
      <c r="C1876" t="str">
        <f>"958"</f>
        <v>958</v>
      </c>
      <c r="E1876" t="s">
        <v>6965</v>
      </c>
      <c r="F1876" t="s">
        <v>40</v>
      </c>
      <c r="G1876" t="s">
        <v>6966</v>
      </c>
      <c r="H1876" t="s">
        <v>17</v>
      </c>
      <c r="I1876" t="s">
        <v>18</v>
      </c>
      <c r="J1876" t="str">
        <f>"5143761620"</f>
        <v>5143761620</v>
      </c>
      <c r="K1876" t="s">
        <v>6967</v>
      </c>
      <c r="L1876" t="s">
        <v>168</v>
      </c>
      <c r="M1876" t="s">
        <v>21</v>
      </c>
    </row>
    <row r="1877" spans="1:13" x14ac:dyDescent="0.35">
      <c r="A1877" t="str">
        <f>"630-4083"</f>
        <v>630-4083</v>
      </c>
      <c r="B1877" t="s">
        <v>6969</v>
      </c>
      <c r="I1877" t="s">
        <v>3666</v>
      </c>
      <c r="J1877" t="str">
        <f>"0618622434"</f>
        <v>0618622434</v>
      </c>
      <c r="K1877" t="s">
        <v>6970</v>
      </c>
      <c r="L1877" t="s">
        <v>168</v>
      </c>
      <c r="M1877" t="s">
        <v>21</v>
      </c>
    </row>
    <row r="1878" spans="1:13" x14ac:dyDescent="0.35">
      <c r="A1878" t="str">
        <f>"630-7582"</f>
        <v>630-7582</v>
      </c>
      <c r="B1878" t="s">
        <v>6971</v>
      </c>
      <c r="C1878" t="str">
        <f>"5050"</f>
        <v>5050</v>
      </c>
      <c r="D1878" t="str">
        <f>"10"</f>
        <v>10</v>
      </c>
      <c r="E1878" t="s">
        <v>6972</v>
      </c>
      <c r="F1878" t="s">
        <v>24</v>
      </c>
      <c r="G1878" t="s">
        <v>6973</v>
      </c>
      <c r="H1878" t="s">
        <v>17</v>
      </c>
      <c r="I1878" t="s">
        <v>18</v>
      </c>
      <c r="J1878" t="str">
        <f t="shared" ref="J1878:J1884" si="0">"5143761620"</f>
        <v>5143761620</v>
      </c>
      <c r="K1878" t="s">
        <v>6974</v>
      </c>
      <c r="L1878" t="s">
        <v>168</v>
      </c>
      <c r="M1878" t="s">
        <v>21</v>
      </c>
    </row>
    <row r="1879" spans="1:13" x14ac:dyDescent="0.35">
      <c r="A1879" t="str">
        <f>"629-4960"</f>
        <v>629-4960</v>
      </c>
      <c r="B1879" t="s">
        <v>6975</v>
      </c>
      <c r="C1879" t="str">
        <f>"12350"</f>
        <v>12350</v>
      </c>
      <c r="E1879" t="s">
        <v>6976</v>
      </c>
      <c r="F1879" t="s">
        <v>24</v>
      </c>
      <c r="G1879" t="s">
        <v>6977</v>
      </c>
      <c r="H1879" t="s">
        <v>17</v>
      </c>
      <c r="I1879" t="s">
        <v>18</v>
      </c>
      <c r="J1879" t="str">
        <f t="shared" si="0"/>
        <v>5143761620</v>
      </c>
      <c r="K1879" t="s">
        <v>6978</v>
      </c>
      <c r="L1879" t="s">
        <v>168</v>
      </c>
      <c r="M1879" t="s">
        <v>21</v>
      </c>
    </row>
    <row r="1880" spans="1:13" x14ac:dyDescent="0.35">
      <c r="A1880" t="str">
        <f>"629-5181"</f>
        <v>629-5181</v>
      </c>
      <c r="B1880" t="s">
        <v>6979</v>
      </c>
      <c r="C1880" t="str">
        <f>"2473"</f>
        <v>2473</v>
      </c>
      <c r="D1880" t="str">
        <f>"4"</f>
        <v>4</v>
      </c>
      <c r="E1880" t="s">
        <v>802</v>
      </c>
      <c r="F1880" t="s">
        <v>24</v>
      </c>
      <c r="G1880" t="s">
        <v>6960</v>
      </c>
      <c r="H1880" t="s">
        <v>17</v>
      </c>
      <c r="I1880" t="s">
        <v>18</v>
      </c>
      <c r="J1880" t="str">
        <f t="shared" si="0"/>
        <v>5143761620</v>
      </c>
      <c r="K1880" t="s">
        <v>6980</v>
      </c>
      <c r="L1880" t="s">
        <v>168</v>
      </c>
      <c r="M1880" t="s">
        <v>21</v>
      </c>
    </row>
    <row r="1881" spans="1:13" x14ac:dyDescent="0.35">
      <c r="A1881" t="str">
        <f>"629-6449"</f>
        <v>629-6449</v>
      </c>
      <c r="B1881" t="s">
        <v>6981</v>
      </c>
      <c r="C1881" t="str">
        <f>"10579"</f>
        <v>10579</v>
      </c>
      <c r="E1881" t="s">
        <v>144</v>
      </c>
      <c r="F1881" t="s">
        <v>24</v>
      </c>
      <c r="G1881" t="s">
        <v>6982</v>
      </c>
      <c r="H1881" t="s">
        <v>17</v>
      </c>
      <c r="I1881" t="s">
        <v>18</v>
      </c>
      <c r="J1881" t="str">
        <f t="shared" si="0"/>
        <v>5143761620</v>
      </c>
      <c r="K1881" t="s">
        <v>6983</v>
      </c>
      <c r="L1881" t="s">
        <v>168</v>
      </c>
      <c r="M1881" t="s">
        <v>21</v>
      </c>
    </row>
    <row r="1882" spans="1:13" x14ac:dyDescent="0.35">
      <c r="A1882" t="str">
        <f>"629-8498"</f>
        <v>629-8498</v>
      </c>
      <c r="B1882" t="s">
        <v>6984</v>
      </c>
      <c r="I1882" t="s">
        <v>3666</v>
      </c>
      <c r="J1882" t="str">
        <f t="shared" si="0"/>
        <v>5143761620</v>
      </c>
      <c r="K1882" t="s">
        <v>6985</v>
      </c>
      <c r="L1882" t="s">
        <v>168</v>
      </c>
      <c r="M1882" t="s">
        <v>21</v>
      </c>
    </row>
    <row r="1883" spans="1:13" x14ac:dyDescent="0.35">
      <c r="A1883" t="str">
        <f>"630-1844"</f>
        <v>630-1844</v>
      </c>
      <c r="B1883" t="s">
        <v>6986</v>
      </c>
      <c r="C1883" t="str">
        <f>"3469"</f>
        <v>3469</v>
      </c>
      <c r="D1883" t="str">
        <f>"129"</f>
        <v>129</v>
      </c>
      <c r="E1883" t="s">
        <v>455</v>
      </c>
      <c r="F1883" t="s">
        <v>24</v>
      </c>
      <c r="G1883" t="s">
        <v>1097</v>
      </c>
      <c r="H1883" t="s">
        <v>17</v>
      </c>
      <c r="I1883" t="s">
        <v>18</v>
      </c>
      <c r="J1883" t="str">
        <f t="shared" si="0"/>
        <v>5143761620</v>
      </c>
      <c r="K1883" t="s">
        <v>6987</v>
      </c>
      <c r="L1883" t="s">
        <v>168</v>
      </c>
      <c r="M1883" t="s">
        <v>21</v>
      </c>
    </row>
    <row r="1884" spans="1:13" x14ac:dyDescent="0.35">
      <c r="A1884" t="str">
        <f>"249-9069"</f>
        <v>249-9069</v>
      </c>
      <c r="B1884" t="s">
        <v>6988</v>
      </c>
      <c r="C1884" t="str">
        <f>"6400"</f>
        <v>6400</v>
      </c>
      <c r="E1884" t="s">
        <v>169</v>
      </c>
      <c r="F1884" t="s">
        <v>24</v>
      </c>
      <c r="G1884" t="s">
        <v>170</v>
      </c>
      <c r="H1884" t="s">
        <v>17</v>
      </c>
      <c r="I1884" t="s">
        <v>18</v>
      </c>
      <c r="J1884" t="str">
        <f t="shared" si="0"/>
        <v>5143761620</v>
      </c>
      <c r="K1884" t="s">
        <v>6989</v>
      </c>
      <c r="L1884" t="s">
        <v>2217</v>
      </c>
      <c r="M1884" t="s">
        <v>21</v>
      </c>
    </row>
    <row r="1885" spans="1:13" x14ac:dyDescent="0.35">
      <c r="A1885" t="str">
        <f>"249-9071"</f>
        <v>249-9071</v>
      </c>
      <c r="B1885" t="s">
        <v>6990</v>
      </c>
      <c r="C1885" t="str">
        <f>"6400"</f>
        <v>6400</v>
      </c>
      <c r="E1885" t="s">
        <v>169</v>
      </c>
      <c r="F1885" t="s">
        <v>24</v>
      </c>
      <c r="G1885" t="s">
        <v>170</v>
      </c>
      <c r="H1885" t="s">
        <v>17</v>
      </c>
      <c r="I1885" t="s">
        <v>18</v>
      </c>
      <c r="J1885" t="str">
        <f>"4389949924"</f>
        <v>4389949924</v>
      </c>
      <c r="K1885" t="s">
        <v>6991</v>
      </c>
      <c r="L1885" t="s">
        <v>2217</v>
      </c>
      <c r="M1885" t="s">
        <v>21</v>
      </c>
    </row>
    <row r="1886" spans="1:13" x14ac:dyDescent="0.35">
      <c r="A1886" t="str">
        <f>"249-9072"</f>
        <v>249-9072</v>
      </c>
      <c r="B1886" t="s">
        <v>6992</v>
      </c>
      <c r="C1886" t="str">
        <f>"6955"</f>
        <v>6955</v>
      </c>
      <c r="D1886" t="str">
        <f>"4"</f>
        <v>4</v>
      </c>
      <c r="E1886" t="s">
        <v>200</v>
      </c>
      <c r="F1886" t="s">
        <v>24</v>
      </c>
      <c r="G1886" t="s">
        <v>6993</v>
      </c>
      <c r="H1886" t="s">
        <v>17</v>
      </c>
      <c r="I1886" t="s">
        <v>18</v>
      </c>
      <c r="J1886" t="str">
        <f>"5143761620"</f>
        <v>5143761620</v>
      </c>
      <c r="K1886" t="s">
        <v>6994</v>
      </c>
      <c r="L1886" t="s">
        <v>2217</v>
      </c>
      <c r="M1886" t="s">
        <v>21</v>
      </c>
    </row>
    <row r="1887" spans="1:13" x14ac:dyDescent="0.35">
      <c r="A1887" t="str">
        <f>"629-8050"</f>
        <v>629-8050</v>
      </c>
      <c r="B1887" t="s">
        <v>6995</v>
      </c>
      <c r="I1887" t="s">
        <v>3666</v>
      </c>
      <c r="J1887" t="str">
        <f>"0767014472"</f>
        <v>0767014472</v>
      </c>
      <c r="K1887" t="s">
        <v>6996</v>
      </c>
      <c r="L1887" t="s">
        <v>168</v>
      </c>
      <c r="M1887" t="s">
        <v>21</v>
      </c>
    </row>
    <row r="1888" spans="1:13" x14ac:dyDescent="0.35">
      <c r="A1888" t="str">
        <f>"632-2774"</f>
        <v>632-2774</v>
      </c>
      <c r="B1888" t="s">
        <v>6997</v>
      </c>
      <c r="C1888" t="str">
        <f>"3469"</f>
        <v>3469</v>
      </c>
      <c r="D1888" t="str">
        <f>"235"</f>
        <v>235</v>
      </c>
      <c r="E1888" t="s">
        <v>455</v>
      </c>
      <c r="F1888" t="s">
        <v>24</v>
      </c>
      <c r="G1888" t="s">
        <v>1097</v>
      </c>
      <c r="H1888" t="s">
        <v>17</v>
      </c>
      <c r="I1888" t="s">
        <v>18</v>
      </c>
      <c r="J1888" t="str">
        <f>"5143761620"</f>
        <v>5143761620</v>
      </c>
      <c r="K1888" t="s">
        <v>6998</v>
      </c>
      <c r="L1888" t="s">
        <v>168</v>
      </c>
      <c r="M1888" t="s">
        <v>21</v>
      </c>
    </row>
    <row r="1889" spans="1:13" x14ac:dyDescent="0.35">
      <c r="A1889" t="str">
        <f>"628-6733"</f>
        <v>628-6733</v>
      </c>
      <c r="B1889" t="s">
        <v>6999</v>
      </c>
      <c r="C1889" t="str">
        <f>"6514"</f>
        <v>6514</v>
      </c>
      <c r="D1889" t="str">
        <f>"A"</f>
        <v>A</v>
      </c>
      <c r="E1889" t="s">
        <v>3373</v>
      </c>
      <c r="F1889" t="s">
        <v>24</v>
      </c>
      <c r="G1889" t="s">
        <v>7000</v>
      </c>
      <c r="H1889" t="s">
        <v>17</v>
      </c>
      <c r="I1889" t="s">
        <v>18</v>
      </c>
      <c r="J1889" t="str">
        <f>"4385096761"</f>
        <v>4385096761</v>
      </c>
      <c r="K1889" t="s">
        <v>7001</v>
      </c>
      <c r="L1889" t="s">
        <v>86</v>
      </c>
      <c r="M1889" t="s">
        <v>21</v>
      </c>
    </row>
    <row r="1890" spans="1:13" x14ac:dyDescent="0.35">
      <c r="A1890" t="str">
        <f>"629-2999"</f>
        <v>629-2999</v>
      </c>
      <c r="B1890" t="s">
        <v>7002</v>
      </c>
      <c r="C1890" t="str">
        <f>"9"</f>
        <v>9</v>
      </c>
      <c r="D1890" t="str">
        <f>"F"</f>
        <v>F</v>
      </c>
      <c r="E1890" t="s">
        <v>7003</v>
      </c>
      <c r="F1890" t="s">
        <v>32</v>
      </c>
      <c r="G1890" t="s">
        <v>7004</v>
      </c>
      <c r="H1890" t="s">
        <v>17</v>
      </c>
      <c r="I1890" t="s">
        <v>18</v>
      </c>
      <c r="J1890" t="str">
        <f>"5146190407"</f>
        <v>5146190407</v>
      </c>
      <c r="K1890" t="s">
        <v>7005</v>
      </c>
      <c r="L1890" t="s">
        <v>137</v>
      </c>
      <c r="M1890" t="s">
        <v>21</v>
      </c>
    </row>
    <row r="1891" spans="1:13" x14ac:dyDescent="0.35">
      <c r="A1891" t="str">
        <f>"629-6285"</f>
        <v>629-6285</v>
      </c>
      <c r="B1891" t="s">
        <v>7006</v>
      </c>
      <c r="C1891" t="str">
        <f>"5219"</f>
        <v>5219</v>
      </c>
      <c r="E1891" t="s">
        <v>7007</v>
      </c>
      <c r="F1891" t="s">
        <v>24</v>
      </c>
      <c r="G1891" t="s">
        <v>7008</v>
      </c>
      <c r="H1891" t="s">
        <v>17</v>
      </c>
      <c r="I1891" t="s">
        <v>18</v>
      </c>
      <c r="J1891" t="str">
        <f>"5144045417"</f>
        <v>5144045417</v>
      </c>
      <c r="K1891" t="s">
        <v>7009</v>
      </c>
      <c r="L1891" t="s">
        <v>86</v>
      </c>
      <c r="M1891" t="s">
        <v>21</v>
      </c>
    </row>
    <row r="1892" spans="1:13" x14ac:dyDescent="0.35">
      <c r="A1892" t="str">
        <f>"238-4722"</f>
        <v>238-4722</v>
      </c>
      <c r="B1892" t="s">
        <v>7010</v>
      </c>
      <c r="C1892" t="str">
        <f>"1620"</f>
        <v>1620</v>
      </c>
      <c r="E1892" t="s">
        <v>7011</v>
      </c>
      <c r="F1892" t="s">
        <v>32</v>
      </c>
      <c r="G1892" t="s">
        <v>7012</v>
      </c>
      <c r="H1892" t="s">
        <v>17</v>
      </c>
      <c r="I1892" t="s">
        <v>18</v>
      </c>
      <c r="J1892" t="str">
        <f>"5147946514"</f>
        <v>5147946514</v>
      </c>
      <c r="K1892" t="s">
        <v>7013</v>
      </c>
      <c r="L1892" t="s">
        <v>198</v>
      </c>
      <c r="M1892" t="s">
        <v>21</v>
      </c>
    </row>
    <row r="1893" spans="1:13" x14ac:dyDescent="0.35">
      <c r="A1893" t="str">
        <f>"238-5724"</f>
        <v>238-5724</v>
      </c>
      <c r="B1893" t="s">
        <v>7014</v>
      </c>
      <c r="C1893" t="str">
        <f>"1060"</f>
        <v>1060</v>
      </c>
      <c r="D1893" t="str">
        <f>"1060"</f>
        <v>1060</v>
      </c>
      <c r="E1893" t="s">
        <v>7015</v>
      </c>
      <c r="F1893" t="s">
        <v>6166</v>
      </c>
      <c r="G1893" t="s">
        <v>7016</v>
      </c>
      <c r="H1893" t="s">
        <v>17</v>
      </c>
      <c r="I1893" t="s">
        <v>18</v>
      </c>
      <c r="J1893" t="str">
        <f>"4383716696"</f>
        <v>4383716696</v>
      </c>
      <c r="K1893" t="s">
        <v>7017</v>
      </c>
      <c r="L1893" t="s">
        <v>466</v>
      </c>
      <c r="M1893" t="s">
        <v>21</v>
      </c>
    </row>
    <row r="1894" spans="1:13" x14ac:dyDescent="0.35">
      <c r="A1894" t="str">
        <f>"238-6152"</f>
        <v>238-6152</v>
      </c>
      <c r="B1894" t="s">
        <v>7018</v>
      </c>
      <c r="C1894" t="str">
        <f>"6520"</f>
        <v>6520</v>
      </c>
      <c r="E1894" t="s">
        <v>3344</v>
      </c>
      <c r="F1894" t="s">
        <v>24</v>
      </c>
      <c r="G1894" t="s">
        <v>7019</v>
      </c>
      <c r="H1894" t="s">
        <v>17</v>
      </c>
      <c r="I1894" t="s">
        <v>18</v>
      </c>
      <c r="J1894" t="str">
        <f>"4383760693"</f>
        <v>4383760693</v>
      </c>
      <c r="K1894" t="s">
        <v>7020</v>
      </c>
      <c r="L1894" t="s">
        <v>383</v>
      </c>
      <c r="M1894" t="s">
        <v>21</v>
      </c>
    </row>
    <row r="1895" spans="1:13" x14ac:dyDescent="0.35">
      <c r="A1895" t="str">
        <f>"246-5750"</f>
        <v>246-5750</v>
      </c>
      <c r="B1895" t="s">
        <v>7021</v>
      </c>
      <c r="C1895" t="str">
        <f>"3473"</f>
        <v>3473</v>
      </c>
      <c r="E1895" t="s">
        <v>7022</v>
      </c>
      <c r="F1895" t="s">
        <v>157</v>
      </c>
      <c r="G1895" t="s">
        <v>7023</v>
      </c>
      <c r="H1895" t="s">
        <v>17</v>
      </c>
      <c r="I1895" t="s">
        <v>18</v>
      </c>
      <c r="J1895" t="str">
        <f>"4389337322"</f>
        <v>4389337322</v>
      </c>
      <c r="K1895" t="s">
        <v>7024</v>
      </c>
      <c r="L1895" t="s">
        <v>383</v>
      </c>
      <c r="M1895" t="s">
        <v>21</v>
      </c>
    </row>
    <row r="1896" spans="1:13" x14ac:dyDescent="0.35">
      <c r="A1896" t="str">
        <f>"246-6590"</f>
        <v>246-6590</v>
      </c>
      <c r="B1896" t="s">
        <v>7025</v>
      </c>
      <c r="C1896" t="str">
        <f>"4711"</f>
        <v>4711</v>
      </c>
      <c r="D1896" t="str">
        <f>"110"</f>
        <v>110</v>
      </c>
      <c r="E1896" t="s">
        <v>7026</v>
      </c>
      <c r="F1896" t="s">
        <v>24</v>
      </c>
      <c r="G1896" t="s">
        <v>7027</v>
      </c>
      <c r="H1896" t="s">
        <v>17</v>
      </c>
      <c r="I1896" t="s">
        <v>18</v>
      </c>
      <c r="J1896" t="str">
        <f>"5146919037"</f>
        <v>5146919037</v>
      </c>
      <c r="K1896" t="s">
        <v>7028</v>
      </c>
      <c r="L1896" t="s">
        <v>313</v>
      </c>
      <c r="M1896" t="s">
        <v>21</v>
      </c>
    </row>
    <row r="1897" spans="1:13" x14ac:dyDescent="0.35">
      <c r="A1897" t="str">
        <f>"246-6734"</f>
        <v>246-6734</v>
      </c>
      <c r="B1897" t="s">
        <v>7029</v>
      </c>
      <c r="C1897" t="str">
        <f>"479"</f>
        <v>479</v>
      </c>
      <c r="E1897" t="s">
        <v>1232</v>
      </c>
      <c r="F1897" t="s">
        <v>430</v>
      </c>
      <c r="G1897" t="s">
        <v>7030</v>
      </c>
      <c r="H1897" t="s">
        <v>17</v>
      </c>
      <c r="I1897" t="s">
        <v>18</v>
      </c>
      <c r="J1897" t="str">
        <f>"4384592241"</f>
        <v>4384592241</v>
      </c>
      <c r="K1897" t="s">
        <v>7031</v>
      </c>
      <c r="L1897" t="s">
        <v>350</v>
      </c>
      <c r="M1897" t="s">
        <v>21</v>
      </c>
    </row>
    <row r="1898" spans="1:13" x14ac:dyDescent="0.35">
      <c r="A1898" t="str">
        <f>"247-4789"</f>
        <v>247-4789</v>
      </c>
      <c r="B1898" t="s">
        <v>7032</v>
      </c>
      <c r="C1898" t="str">
        <f>"441"</f>
        <v>441</v>
      </c>
      <c r="D1898" t="str">
        <f>"7"</f>
        <v>7</v>
      </c>
      <c r="E1898" t="s">
        <v>7033</v>
      </c>
      <c r="F1898" t="s">
        <v>24</v>
      </c>
      <c r="G1898" t="s">
        <v>7034</v>
      </c>
      <c r="H1898" t="s">
        <v>17</v>
      </c>
      <c r="I1898" t="s">
        <v>18</v>
      </c>
      <c r="J1898" t="str">
        <f>"4389896878"</f>
        <v>4389896878</v>
      </c>
      <c r="K1898" t="s">
        <v>7035</v>
      </c>
      <c r="L1898" t="s">
        <v>86</v>
      </c>
      <c r="M1898" t="s">
        <v>21</v>
      </c>
    </row>
    <row r="1899" spans="1:13" x14ac:dyDescent="0.35">
      <c r="A1899" t="str">
        <f>"247-5565"</f>
        <v>247-5565</v>
      </c>
      <c r="B1899" t="s">
        <v>7036</v>
      </c>
      <c r="C1899" t="str">
        <f>"363"</f>
        <v>363</v>
      </c>
      <c r="E1899" t="s">
        <v>7037</v>
      </c>
      <c r="F1899" t="s">
        <v>24</v>
      </c>
      <c r="G1899" t="s">
        <v>7038</v>
      </c>
      <c r="H1899" t="s">
        <v>17</v>
      </c>
      <c r="I1899" t="s">
        <v>18</v>
      </c>
      <c r="J1899" t="str">
        <f>"5145690808"</f>
        <v>5145690808</v>
      </c>
      <c r="K1899" t="s">
        <v>7039</v>
      </c>
      <c r="L1899" t="s">
        <v>2316</v>
      </c>
      <c r="M1899" t="s">
        <v>21</v>
      </c>
    </row>
    <row r="1900" spans="1:13" x14ac:dyDescent="0.35">
      <c r="A1900" t="str">
        <f>"249-0353"</f>
        <v>249-0353</v>
      </c>
      <c r="B1900" t="s">
        <v>7040</v>
      </c>
      <c r="C1900" t="str">
        <f>"1295"</f>
        <v>1295</v>
      </c>
      <c r="D1900" t="str">
        <f>"406"</f>
        <v>406</v>
      </c>
      <c r="E1900" t="s">
        <v>7041</v>
      </c>
      <c r="F1900" t="s">
        <v>24</v>
      </c>
      <c r="G1900" t="s">
        <v>7042</v>
      </c>
      <c r="H1900" t="s">
        <v>17</v>
      </c>
      <c r="I1900" t="s">
        <v>18</v>
      </c>
      <c r="J1900" t="str">
        <f>"5146025089"</f>
        <v>5146025089</v>
      </c>
      <c r="K1900" t="s">
        <v>7043</v>
      </c>
      <c r="L1900" t="s">
        <v>29</v>
      </c>
      <c r="M1900" t="s">
        <v>21</v>
      </c>
    </row>
    <row r="1901" spans="1:13" x14ac:dyDescent="0.35">
      <c r="A1901" t="str">
        <f>"249-0470"</f>
        <v>249-0470</v>
      </c>
      <c r="B1901" t="s">
        <v>7044</v>
      </c>
      <c r="C1901" t="str">
        <f>"3441"</f>
        <v>3441</v>
      </c>
      <c r="E1901" t="s">
        <v>7045</v>
      </c>
      <c r="F1901" t="s">
        <v>24</v>
      </c>
      <c r="G1901" t="s">
        <v>7046</v>
      </c>
      <c r="H1901" t="s">
        <v>17</v>
      </c>
      <c r="I1901" t="s">
        <v>18</v>
      </c>
      <c r="J1901" t="str">
        <f>"4383414721"</f>
        <v>4383414721</v>
      </c>
      <c r="K1901" t="s">
        <v>7047</v>
      </c>
      <c r="L1901" t="s">
        <v>383</v>
      </c>
      <c r="M1901" t="s">
        <v>21</v>
      </c>
    </row>
    <row r="1902" spans="1:13" x14ac:dyDescent="0.35">
      <c r="A1902" t="str">
        <f>"249-0503"</f>
        <v>249-0503</v>
      </c>
      <c r="B1902" t="s">
        <v>7048</v>
      </c>
      <c r="C1902" t="str">
        <f>"4731"</f>
        <v>4731</v>
      </c>
      <c r="D1902" t="str">
        <f>"6"</f>
        <v>6</v>
      </c>
      <c r="E1902" t="s">
        <v>3591</v>
      </c>
      <c r="F1902" t="s">
        <v>24</v>
      </c>
      <c r="G1902" t="s">
        <v>7049</v>
      </c>
      <c r="H1902" t="s">
        <v>17</v>
      </c>
      <c r="I1902" t="s">
        <v>18</v>
      </c>
      <c r="J1902" t="str">
        <f>"5143761620"</f>
        <v>5143761620</v>
      </c>
      <c r="K1902" t="s">
        <v>7050</v>
      </c>
      <c r="L1902" t="s">
        <v>220</v>
      </c>
      <c r="M1902" t="s">
        <v>21</v>
      </c>
    </row>
    <row r="1903" spans="1:13" x14ac:dyDescent="0.35">
      <c r="A1903" t="str">
        <f>"249-1073"</f>
        <v>249-1073</v>
      </c>
      <c r="B1903" t="s">
        <v>7051</v>
      </c>
      <c r="C1903" t="str">
        <f>"4225"</f>
        <v>4225</v>
      </c>
      <c r="E1903" t="s">
        <v>2664</v>
      </c>
      <c r="F1903" t="s">
        <v>157</v>
      </c>
      <c r="G1903" t="s">
        <v>7052</v>
      </c>
      <c r="H1903" t="s">
        <v>17</v>
      </c>
      <c r="I1903" t="s">
        <v>18</v>
      </c>
      <c r="J1903" t="str">
        <f>"5147760057"</f>
        <v>5147760057</v>
      </c>
      <c r="K1903" t="s">
        <v>7053</v>
      </c>
      <c r="L1903" t="s">
        <v>383</v>
      </c>
      <c r="M1903" t="s">
        <v>21</v>
      </c>
    </row>
    <row r="1904" spans="1:13" x14ac:dyDescent="0.35">
      <c r="A1904" t="str">
        <f>"249-1284"</f>
        <v>249-1284</v>
      </c>
      <c r="B1904" t="s">
        <v>7054</v>
      </c>
      <c r="C1904" t="str">
        <f>"2532"</f>
        <v>2532</v>
      </c>
      <c r="E1904" t="s">
        <v>1780</v>
      </c>
      <c r="F1904" t="s">
        <v>24</v>
      </c>
      <c r="G1904" t="s">
        <v>7055</v>
      </c>
      <c r="H1904" t="s">
        <v>17</v>
      </c>
      <c r="I1904" t="s">
        <v>18</v>
      </c>
      <c r="J1904" t="str">
        <f>"5149614636"</f>
        <v>5149614636</v>
      </c>
      <c r="K1904" t="s">
        <v>7056</v>
      </c>
      <c r="L1904" t="s">
        <v>27</v>
      </c>
      <c r="M1904" t="s">
        <v>21</v>
      </c>
    </row>
    <row r="1905" spans="1:13" x14ac:dyDescent="0.35">
      <c r="A1905" t="str">
        <f>"249-1289"</f>
        <v>249-1289</v>
      </c>
      <c r="B1905" t="s">
        <v>7057</v>
      </c>
      <c r="C1905" t="str">
        <f>"4827"</f>
        <v>4827</v>
      </c>
      <c r="E1905" t="s">
        <v>1780</v>
      </c>
      <c r="F1905" t="s">
        <v>24</v>
      </c>
      <c r="G1905" t="s">
        <v>7058</v>
      </c>
      <c r="H1905" t="s">
        <v>17</v>
      </c>
      <c r="I1905" t="s">
        <v>18</v>
      </c>
      <c r="J1905" t="str">
        <f>"4384640559"</f>
        <v>4384640559</v>
      </c>
      <c r="K1905" t="s">
        <v>7059</v>
      </c>
      <c r="L1905" t="s">
        <v>396</v>
      </c>
      <c r="M1905" t="s">
        <v>21</v>
      </c>
    </row>
    <row r="1906" spans="1:13" x14ac:dyDescent="0.35">
      <c r="A1906" t="str">
        <f>"622-5040"</f>
        <v>622-5040</v>
      </c>
      <c r="B1906" t="s">
        <v>7060</v>
      </c>
      <c r="C1906" t="str">
        <f>"825"</f>
        <v>825</v>
      </c>
      <c r="E1906" t="s">
        <v>1425</v>
      </c>
      <c r="F1906" t="s">
        <v>24</v>
      </c>
      <c r="G1906" t="s">
        <v>7061</v>
      </c>
      <c r="H1906" t="s">
        <v>17</v>
      </c>
      <c r="I1906" t="s">
        <v>18</v>
      </c>
      <c r="J1906" t="str">
        <f>"5145185802"</f>
        <v>5145185802</v>
      </c>
      <c r="K1906" t="s">
        <v>7062</v>
      </c>
      <c r="L1906" t="s">
        <v>29</v>
      </c>
      <c r="M1906" t="s">
        <v>21</v>
      </c>
    </row>
    <row r="1907" spans="1:13" x14ac:dyDescent="0.35">
      <c r="A1907" t="str">
        <f>"628-7510"</f>
        <v>628-7510</v>
      </c>
      <c r="B1907" t="s">
        <v>7063</v>
      </c>
      <c r="C1907" t="str">
        <f>"6292"</f>
        <v>6292</v>
      </c>
      <c r="D1907" t="str">
        <f>"202"</f>
        <v>202</v>
      </c>
      <c r="E1907" t="s">
        <v>2419</v>
      </c>
      <c r="F1907" t="s">
        <v>24</v>
      </c>
      <c r="G1907" t="s">
        <v>803</v>
      </c>
      <c r="H1907" t="s">
        <v>17</v>
      </c>
      <c r="I1907" t="s">
        <v>18</v>
      </c>
      <c r="J1907" t="str">
        <f>"4388668624"</f>
        <v>4388668624</v>
      </c>
      <c r="K1907" t="s">
        <v>7064</v>
      </c>
      <c r="L1907" t="s">
        <v>86</v>
      </c>
      <c r="M1907" t="s">
        <v>21</v>
      </c>
    </row>
    <row r="1908" spans="1:13" x14ac:dyDescent="0.35">
      <c r="A1908" t="str">
        <f>"628-7482"</f>
        <v>628-7482</v>
      </c>
      <c r="B1908" t="s">
        <v>7065</v>
      </c>
      <c r="C1908" t="str">
        <f>"181"</f>
        <v>181</v>
      </c>
      <c r="E1908" t="s">
        <v>7066</v>
      </c>
      <c r="F1908" t="s">
        <v>7067</v>
      </c>
      <c r="G1908" t="s">
        <v>7068</v>
      </c>
      <c r="H1908" t="s">
        <v>17</v>
      </c>
      <c r="I1908" t="s">
        <v>18</v>
      </c>
      <c r="J1908" t="str">
        <f>"8735591241"</f>
        <v>8735591241</v>
      </c>
      <c r="K1908" t="s">
        <v>7069</v>
      </c>
      <c r="L1908" t="s">
        <v>319</v>
      </c>
      <c r="M1908" t="s">
        <v>21</v>
      </c>
    </row>
    <row r="1909" spans="1:13" x14ac:dyDescent="0.35">
      <c r="A1909" t="str">
        <f>"628-7515"</f>
        <v>628-7515</v>
      </c>
      <c r="B1909" t="s">
        <v>7070</v>
      </c>
      <c r="C1909" t="str">
        <f>"786"</f>
        <v>786</v>
      </c>
      <c r="E1909" t="s">
        <v>28</v>
      </c>
      <c r="F1909" t="s">
        <v>24</v>
      </c>
      <c r="G1909" t="s">
        <v>7071</v>
      </c>
      <c r="H1909" t="s">
        <v>17</v>
      </c>
      <c r="I1909" t="s">
        <v>18</v>
      </c>
      <c r="J1909" t="str">
        <f>"4388248774"</f>
        <v>4388248774</v>
      </c>
      <c r="K1909" t="s">
        <v>7072</v>
      </c>
      <c r="L1909" t="s">
        <v>86</v>
      </c>
      <c r="M1909" t="s">
        <v>21</v>
      </c>
    </row>
    <row r="1910" spans="1:13" x14ac:dyDescent="0.35">
      <c r="A1910" t="str">
        <f>"628-7585"</f>
        <v>628-7585</v>
      </c>
      <c r="B1910" t="s">
        <v>7073</v>
      </c>
      <c r="C1910" t="str">
        <f>"6329"</f>
        <v>6329</v>
      </c>
      <c r="E1910" t="s">
        <v>1494</v>
      </c>
      <c r="F1910" t="s">
        <v>24</v>
      </c>
      <c r="G1910" t="s">
        <v>7074</v>
      </c>
      <c r="H1910" t="s">
        <v>17</v>
      </c>
      <c r="I1910" t="s">
        <v>18</v>
      </c>
      <c r="J1910" t="str">
        <f>"5142135188"</f>
        <v>5142135188</v>
      </c>
      <c r="K1910" t="s">
        <v>7075</v>
      </c>
      <c r="L1910" t="s">
        <v>4470</v>
      </c>
      <c r="M1910" t="s">
        <v>21</v>
      </c>
    </row>
    <row r="1911" spans="1:13" x14ac:dyDescent="0.35">
      <c r="A1911" t="str">
        <f>"630-1937"</f>
        <v>630-1937</v>
      </c>
      <c r="B1911" t="s">
        <v>7076</v>
      </c>
      <c r="C1911" t="str">
        <f>"3302"</f>
        <v>3302</v>
      </c>
      <c r="E1911" t="s">
        <v>1854</v>
      </c>
      <c r="F1911" t="s">
        <v>24</v>
      </c>
      <c r="G1911" t="s">
        <v>7077</v>
      </c>
      <c r="H1911" t="s">
        <v>17</v>
      </c>
      <c r="I1911" t="s">
        <v>18</v>
      </c>
      <c r="J1911" t="str">
        <f>"5143533058"</f>
        <v>5143533058</v>
      </c>
      <c r="K1911" t="s">
        <v>7078</v>
      </c>
      <c r="L1911" t="s">
        <v>29</v>
      </c>
      <c r="M1911" t="s">
        <v>21</v>
      </c>
    </row>
    <row r="1912" spans="1:13" x14ac:dyDescent="0.35">
      <c r="A1912" t="str">
        <f>"630-2185"</f>
        <v>630-2185</v>
      </c>
      <c r="B1912" t="s">
        <v>7079</v>
      </c>
      <c r="C1912" t="str">
        <f>"6436"</f>
        <v>6436</v>
      </c>
      <c r="D1912" t="str">
        <f>"6436"</f>
        <v>6436</v>
      </c>
      <c r="E1912" t="s">
        <v>3516</v>
      </c>
      <c r="F1912" t="s">
        <v>24</v>
      </c>
      <c r="G1912" t="s">
        <v>7080</v>
      </c>
      <c r="H1912" t="s">
        <v>17</v>
      </c>
      <c r="I1912" t="s">
        <v>18</v>
      </c>
      <c r="J1912" t="str">
        <f>"5147748761"</f>
        <v>5147748761</v>
      </c>
      <c r="K1912" t="s">
        <v>7081</v>
      </c>
      <c r="L1912" t="s">
        <v>137</v>
      </c>
      <c r="M1912" t="s">
        <v>21</v>
      </c>
    </row>
    <row r="1913" spans="1:13" x14ac:dyDescent="0.35">
      <c r="A1913" t="str">
        <f>"630-2288"</f>
        <v>630-2288</v>
      </c>
      <c r="B1913" t="s">
        <v>7082</v>
      </c>
      <c r="C1913" t="str">
        <f>"561"</f>
        <v>561</v>
      </c>
      <c r="D1913" t="str">
        <f>"B"</f>
        <v>B</v>
      </c>
      <c r="E1913" t="s">
        <v>4640</v>
      </c>
      <c r="F1913" t="s">
        <v>32</v>
      </c>
      <c r="G1913" t="s">
        <v>7083</v>
      </c>
      <c r="H1913" t="s">
        <v>17</v>
      </c>
      <c r="I1913" t="s">
        <v>18</v>
      </c>
      <c r="J1913" t="str">
        <f>"5144761157"</f>
        <v>5144761157</v>
      </c>
      <c r="K1913" t="s">
        <v>7084</v>
      </c>
      <c r="L1913" t="s">
        <v>86</v>
      </c>
      <c r="M1913" t="s">
        <v>21</v>
      </c>
    </row>
    <row r="1914" spans="1:13" x14ac:dyDescent="0.35">
      <c r="A1914" t="str">
        <f>"630-2800"</f>
        <v>630-2800</v>
      </c>
      <c r="B1914" t="s">
        <v>7085</v>
      </c>
      <c r="C1914" t="str">
        <f>"5605"</f>
        <v>5605</v>
      </c>
      <c r="E1914" t="s">
        <v>7086</v>
      </c>
      <c r="F1914" t="s">
        <v>24</v>
      </c>
      <c r="G1914" t="s">
        <v>7087</v>
      </c>
      <c r="H1914" t="s">
        <v>17</v>
      </c>
      <c r="I1914" t="s">
        <v>18</v>
      </c>
      <c r="J1914" t="str">
        <f>"5149786273"</f>
        <v>5149786273</v>
      </c>
      <c r="K1914" t="s">
        <v>7088</v>
      </c>
      <c r="L1914" t="s">
        <v>86</v>
      </c>
      <c r="M1914" t="s">
        <v>21</v>
      </c>
    </row>
    <row r="1915" spans="1:13" x14ac:dyDescent="0.35">
      <c r="A1915" t="str">
        <f>"630-4955"</f>
        <v>630-4955</v>
      </c>
      <c r="B1915" t="s">
        <v>7089</v>
      </c>
      <c r="C1915" t="str">
        <f>"1159"</f>
        <v>1159</v>
      </c>
      <c r="E1915" t="s">
        <v>3489</v>
      </c>
      <c r="F1915" t="s">
        <v>32</v>
      </c>
      <c r="G1915" t="s">
        <v>7090</v>
      </c>
      <c r="H1915" t="s">
        <v>17</v>
      </c>
      <c r="I1915" t="s">
        <v>18</v>
      </c>
      <c r="J1915" t="str">
        <f>"4383778377"</f>
        <v>4383778377</v>
      </c>
      <c r="K1915" t="s">
        <v>7091</v>
      </c>
      <c r="L1915" t="s">
        <v>86</v>
      </c>
      <c r="M1915" t="s">
        <v>21</v>
      </c>
    </row>
    <row r="1916" spans="1:13" x14ac:dyDescent="0.35">
      <c r="A1916" t="str">
        <f>"630-4958"</f>
        <v>630-4958</v>
      </c>
      <c r="B1916" t="s">
        <v>7092</v>
      </c>
      <c r="C1916" t="str">
        <f>"2577"</f>
        <v>2577</v>
      </c>
      <c r="E1916" t="s">
        <v>7093</v>
      </c>
      <c r="F1916" t="s">
        <v>2166</v>
      </c>
      <c r="G1916" t="s">
        <v>7094</v>
      </c>
      <c r="H1916" t="s">
        <v>17</v>
      </c>
      <c r="I1916" t="s">
        <v>18</v>
      </c>
      <c r="J1916" t="str">
        <f>"4503501612"</f>
        <v>4503501612</v>
      </c>
      <c r="K1916" t="s">
        <v>7095</v>
      </c>
      <c r="L1916" t="s">
        <v>383</v>
      </c>
      <c r="M1916" t="s">
        <v>21</v>
      </c>
    </row>
    <row r="1917" spans="1:13" x14ac:dyDescent="0.35">
      <c r="A1917" t="str">
        <f>"630-5235"</f>
        <v>630-5235</v>
      </c>
      <c r="B1917" t="s">
        <v>7096</v>
      </c>
      <c r="C1917" t="str">
        <f>"1434"</f>
        <v>1434</v>
      </c>
      <c r="E1917" t="s">
        <v>7097</v>
      </c>
      <c r="F1917" t="s">
        <v>54</v>
      </c>
      <c r="G1917" t="s">
        <v>7098</v>
      </c>
      <c r="H1917" t="s">
        <v>17</v>
      </c>
      <c r="I1917" t="s">
        <v>18</v>
      </c>
      <c r="J1917" t="str">
        <f>"5147035950"</f>
        <v>5147035950</v>
      </c>
      <c r="K1917" t="s">
        <v>7099</v>
      </c>
      <c r="L1917" t="s">
        <v>350</v>
      </c>
      <c r="M1917" t="s">
        <v>21</v>
      </c>
    </row>
    <row r="1918" spans="1:13" x14ac:dyDescent="0.35">
      <c r="A1918" t="str">
        <f>"630-5862"</f>
        <v>630-5862</v>
      </c>
      <c r="B1918" t="s">
        <v>7100</v>
      </c>
      <c r="C1918" t="str">
        <f>"4270"</f>
        <v>4270</v>
      </c>
      <c r="D1918" t="str">
        <f>"1"</f>
        <v>1</v>
      </c>
      <c r="E1918" t="s">
        <v>1208</v>
      </c>
      <c r="F1918" t="s">
        <v>24</v>
      </c>
      <c r="G1918" t="s">
        <v>7101</v>
      </c>
      <c r="H1918" t="s">
        <v>17</v>
      </c>
      <c r="I1918" t="s">
        <v>18</v>
      </c>
      <c r="J1918" t="str">
        <f>"5148034344"</f>
        <v>5148034344</v>
      </c>
      <c r="K1918" t="s">
        <v>7102</v>
      </c>
      <c r="L1918" t="s">
        <v>86</v>
      </c>
      <c r="M1918" t="s">
        <v>21</v>
      </c>
    </row>
    <row r="1919" spans="1:13" x14ac:dyDescent="0.35">
      <c r="A1919" t="str">
        <f>"630-8265"</f>
        <v>630-8265</v>
      </c>
      <c r="B1919" t="s">
        <v>7103</v>
      </c>
      <c r="C1919" t="str">
        <f>"1280C"</f>
        <v>1280C</v>
      </c>
      <c r="E1919" t="s">
        <v>3489</v>
      </c>
      <c r="F1919" t="s">
        <v>32</v>
      </c>
      <c r="G1919" t="s">
        <v>7104</v>
      </c>
      <c r="H1919" t="s">
        <v>17</v>
      </c>
      <c r="I1919" t="s">
        <v>18</v>
      </c>
      <c r="J1919" t="str">
        <f>"5149091301"</f>
        <v>5149091301</v>
      </c>
      <c r="K1919" t="s">
        <v>7105</v>
      </c>
      <c r="L1919" t="s">
        <v>869</v>
      </c>
      <c r="M1919" t="s">
        <v>21</v>
      </c>
    </row>
    <row r="1920" spans="1:13" x14ac:dyDescent="0.35">
      <c r="A1920" t="str">
        <f>"630-8353"</f>
        <v>630-8353</v>
      </c>
      <c r="B1920" t="s">
        <v>7106</v>
      </c>
      <c r="C1920" t="str">
        <f>"9729"</f>
        <v>9729</v>
      </c>
      <c r="E1920" t="s">
        <v>7107</v>
      </c>
      <c r="F1920" t="s">
        <v>24</v>
      </c>
      <c r="G1920" t="s">
        <v>7108</v>
      </c>
      <c r="H1920" t="s">
        <v>17</v>
      </c>
      <c r="I1920" t="s">
        <v>18</v>
      </c>
      <c r="J1920" t="str">
        <f>"5144429832"</f>
        <v>5144429832</v>
      </c>
      <c r="K1920" t="s">
        <v>7109</v>
      </c>
      <c r="L1920" t="s">
        <v>466</v>
      </c>
      <c r="M1920" t="s">
        <v>21</v>
      </c>
    </row>
    <row r="1921" spans="1:13" x14ac:dyDescent="0.35">
      <c r="A1921" t="str">
        <f>"630-8372"</f>
        <v>630-8372</v>
      </c>
      <c r="B1921" t="s">
        <v>7110</v>
      </c>
      <c r="C1921" t="str">
        <f>"6380"</f>
        <v>6380</v>
      </c>
      <c r="E1921" t="s">
        <v>1315</v>
      </c>
      <c r="F1921" t="s">
        <v>24</v>
      </c>
      <c r="G1921" t="s">
        <v>7111</v>
      </c>
      <c r="H1921" t="s">
        <v>17</v>
      </c>
      <c r="I1921" t="s">
        <v>18</v>
      </c>
      <c r="J1921" t="str">
        <f>"5145734604"</f>
        <v>5145734604</v>
      </c>
      <c r="K1921" t="s">
        <v>7112</v>
      </c>
      <c r="L1921" t="s">
        <v>86</v>
      </c>
      <c r="M1921" t="s">
        <v>21</v>
      </c>
    </row>
    <row r="1922" spans="1:13" x14ac:dyDescent="0.35">
      <c r="A1922" t="str">
        <f>"630-8472"</f>
        <v>630-8472</v>
      </c>
      <c r="B1922" t="s">
        <v>7113</v>
      </c>
      <c r="C1922" t="str">
        <f>"8345"</f>
        <v>8345</v>
      </c>
      <c r="D1922" t="str">
        <f>"2"</f>
        <v>2</v>
      </c>
      <c r="E1922" t="s">
        <v>1494</v>
      </c>
      <c r="F1922" t="s">
        <v>24</v>
      </c>
      <c r="G1922" t="s">
        <v>6796</v>
      </c>
      <c r="H1922" t="s">
        <v>17</v>
      </c>
      <c r="I1922" t="s">
        <v>18</v>
      </c>
      <c r="J1922" t="str">
        <f>"4382257794"</f>
        <v>4382257794</v>
      </c>
      <c r="K1922" t="s">
        <v>7114</v>
      </c>
      <c r="L1922" t="s">
        <v>86</v>
      </c>
      <c r="M1922" t="s">
        <v>21</v>
      </c>
    </row>
    <row r="1923" spans="1:13" x14ac:dyDescent="0.35">
      <c r="A1923" t="str">
        <f>"630-8892"</f>
        <v>630-8892</v>
      </c>
      <c r="B1923" t="s">
        <v>7115</v>
      </c>
      <c r="C1923" t="str">
        <f>"11966"</f>
        <v>11966</v>
      </c>
      <c r="D1923" t="str">
        <f>"3"</f>
        <v>3</v>
      </c>
      <c r="E1923" t="s">
        <v>7116</v>
      </c>
      <c r="F1923" t="s">
        <v>24</v>
      </c>
      <c r="G1923" t="s">
        <v>7117</v>
      </c>
      <c r="H1923" t="s">
        <v>17</v>
      </c>
      <c r="I1923" t="s">
        <v>18</v>
      </c>
      <c r="J1923" t="str">
        <f>"5149687065"</f>
        <v>5149687065</v>
      </c>
      <c r="K1923" t="s">
        <v>7118</v>
      </c>
      <c r="L1923" t="s">
        <v>86</v>
      </c>
      <c r="M1923" t="s">
        <v>21</v>
      </c>
    </row>
    <row r="1924" spans="1:13" x14ac:dyDescent="0.35">
      <c r="A1924" t="str">
        <f>"632-1289"</f>
        <v>632-1289</v>
      </c>
      <c r="B1924" t="s">
        <v>7119</v>
      </c>
      <c r="C1924" t="str">
        <f>"2665"</f>
        <v>2665</v>
      </c>
      <c r="E1924" t="s">
        <v>5148</v>
      </c>
      <c r="F1924" t="s">
        <v>24</v>
      </c>
      <c r="G1924" t="s">
        <v>5149</v>
      </c>
      <c r="H1924" t="s">
        <v>17</v>
      </c>
      <c r="I1924" t="s">
        <v>18</v>
      </c>
      <c r="J1924" t="str">
        <f>"4387632008"</f>
        <v>4387632008</v>
      </c>
      <c r="K1924" t="s">
        <v>7120</v>
      </c>
      <c r="L1924" t="s">
        <v>869</v>
      </c>
      <c r="M1924" t="s">
        <v>21</v>
      </c>
    </row>
    <row r="1925" spans="1:13" x14ac:dyDescent="0.35">
      <c r="A1925" t="str">
        <f>"632-1355"</f>
        <v>632-1355</v>
      </c>
      <c r="B1925" t="s">
        <v>7121</v>
      </c>
      <c r="C1925" t="str">
        <f>"4740"</f>
        <v>4740</v>
      </c>
      <c r="D1925" t="str">
        <f>"6"</f>
        <v>6</v>
      </c>
      <c r="E1925" t="s">
        <v>7122</v>
      </c>
      <c r="F1925" t="s">
        <v>24</v>
      </c>
      <c r="G1925" t="s">
        <v>7123</v>
      </c>
      <c r="H1925" t="s">
        <v>17</v>
      </c>
      <c r="I1925" t="s">
        <v>18</v>
      </c>
      <c r="J1925" t="str">
        <f>"4388339538"</f>
        <v>4388339538</v>
      </c>
      <c r="K1925" t="s">
        <v>7124</v>
      </c>
      <c r="L1925" t="s">
        <v>88</v>
      </c>
      <c r="M1925" t="s">
        <v>21</v>
      </c>
    </row>
    <row r="1926" spans="1:13" x14ac:dyDescent="0.35">
      <c r="A1926" t="str">
        <f>"632-1358"</f>
        <v>632-1358</v>
      </c>
      <c r="B1926" t="s">
        <v>7125</v>
      </c>
      <c r="C1926" t="str">
        <f>"1095"</f>
        <v>1095</v>
      </c>
      <c r="E1926" t="s">
        <v>7126</v>
      </c>
      <c r="F1926" t="s">
        <v>24</v>
      </c>
      <c r="G1926" t="s">
        <v>7127</v>
      </c>
      <c r="H1926" t="s">
        <v>17</v>
      </c>
      <c r="I1926" t="s">
        <v>18</v>
      </c>
      <c r="J1926" t="str">
        <f>"4387875760"</f>
        <v>4387875760</v>
      </c>
      <c r="K1926" t="s">
        <v>7128</v>
      </c>
      <c r="L1926" t="s">
        <v>86</v>
      </c>
      <c r="M1926" t="s">
        <v>21</v>
      </c>
    </row>
    <row r="1927" spans="1:13" x14ac:dyDescent="0.35">
      <c r="A1927" t="str">
        <f>"632-1890"</f>
        <v>632-1890</v>
      </c>
      <c r="B1927" t="s">
        <v>7129</v>
      </c>
      <c r="C1927" t="str">
        <f>"1210"</f>
        <v>1210</v>
      </c>
      <c r="E1927" t="s">
        <v>7130</v>
      </c>
      <c r="F1927" t="s">
        <v>24</v>
      </c>
      <c r="G1927" t="s">
        <v>7131</v>
      </c>
      <c r="H1927" t="s">
        <v>17</v>
      </c>
      <c r="I1927" t="s">
        <v>18</v>
      </c>
      <c r="J1927" t="str">
        <f>"5149618553"</f>
        <v>5149618553</v>
      </c>
      <c r="K1927" t="s">
        <v>7132</v>
      </c>
      <c r="L1927" t="s">
        <v>86</v>
      </c>
      <c r="M1927" t="s">
        <v>21</v>
      </c>
    </row>
    <row r="1928" spans="1:13" x14ac:dyDescent="0.35">
      <c r="A1928" t="str">
        <f>"112-6673"</f>
        <v>112-6673</v>
      </c>
      <c r="B1928" t="s">
        <v>7133</v>
      </c>
      <c r="C1928" t="str">
        <f>"12167"</f>
        <v>12167</v>
      </c>
      <c r="D1928" t="str">
        <f>"310"</f>
        <v>310</v>
      </c>
      <c r="E1928" t="s">
        <v>5315</v>
      </c>
      <c r="F1928" t="s">
        <v>24</v>
      </c>
      <c r="G1928" t="s">
        <v>7134</v>
      </c>
      <c r="H1928" t="s">
        <v>17</v>
      </c>
      <c r="I1928" t="s">
        <v>18</v>
      </c>
      <c r="J1928" t="str">
        <f>"4388362890"</f>
        <v>4388362890</v>
      </c>
      <c r="K1928" t="s">
        <v>7135</v>
      </c>
      <c r="L1928" t="s">
        <v>86</v>
      </c>
      <c r="M1928" t="s">
        <v>21</v>
      </c>
    </row>
    <row r="1929" spans="1:13" x14ac:dyDescent="0.35">
      <c r="A1929" t="str">
        <f>"113-3408"</f>
        <v>113-3408</v>
      </c>
      <c r="B1929" t="s">
        <v>7136</v>
      </c>
      <c r="C1929" t="str">
        <f>"233"</f>
        <v>233</v>
      </c>
      <c r="D1929" t="str">
        <f>"1"</f>
        <v>1</v>
      </c>
      <c r="E1929" t="s">
        <v>7137</v>
      </c>
      <c r="F1929" t="s">
        <v>2156</v>
      </c>
      <c r="G1929" t="s">
        <v>7138</v>
      </c>
      <c r="H1929" t="s">
        <v>17</v>
      </c>
      <c r="I1929" t="s">
        <v>18</v>
      </c>
      <c r="J1929" t="str">
        <f>"4388690192"</f>
        <v>4388690192</v>
      </c>
      <c r="K1929" t="s">
        <v>7139</v>
      </c>
      <c r="L1929" t="s">
        <v>313</v>
      </c>
      <c r="M1929" t="s">
        <v>21</v>
      </c>
    </row>
    <row r="1930" spans="1:13" x14ac:dyDescent="0.35">
      <c r="A1930" t="str">
        <f>"114-3245"</f>
        <v>114-3245</v>
      </c>
      <c r="B1930" t="s">
        <v>7140</v>
      </c>
      <c r="C1930" t="str">
        <f>"14748"</f>
        <v>14748</v>
      </c>
      <c r="E1930" t="s">
        <v>7141</v>
      </c>
      <c r="F1930" t="s">
        <v>24</v>
      </c>
      <c r="G1930" t="s">
        <v>7142</v>
      </c>
      <c r="H1930" t="s">
        <v>17</v>
      </c>
      <c r="I1930" t="s">
        <v>18</v>
      </c>
      <c r="J1930" t="str">
        <f>"5144668495"</f>
        <v>5144668495</v>
      </c>
      <c r="K1930" t="s">
        <v>7143</v>
      </c>
      <c r="L1930" t="s">
        <v>39</v>
      </c>
      <c r="M1930" t="s">
        <v>21</v>
      </c>
    </row>
    <row r="1931" spans="1:13" x14ac:dyDescent="0.35">
      <c r="A1931" t="str">
        <f>"632-3989"</f>
        <v>632-3989</v>
      </c>
      <c r="B1931" t="s">
        <v>7144</v>
      </c>
      <c r="C1931" t="str">
        <f>"13822"</f>
        <v>13822</v>
      </c>
      <c r="E1931" t="s">
        <v>7145</v>
      </c>
      <c r="F1931" t="s">
        <v>1680</v>
      </c>
      <c r="G1931" t="s">
        <v>7146</v>
      </c>
      <c r="H1931" t="s">
        <v>17</v>
      </c>
      <c r="I1931" t="s">
        <v>18</v>
      </c>
      <c r="J1931" t="str">
        <f>"5147778824"</f>
        <v>5147778824</v>
      </c>
      <c r="K1931" t="s">
        <v>7147</v>
      </c>
      <c r="L1931" t="s">
        <v>396</v>
      </c>
      <c r="M1931" t="s">
        <v>21</v>
      </c>
    </row>
    <row r="1932" spans="1:13" x14ac:dyDescent="0.35">
      <c r="A1932" t="str">
        <f>"632-4128"</f>
        <v>632-4128</v>
      </c>
      <c r="B1932" t="s">
        <v>7148</v>
      </c>
      <c r="C1932" t="str">
        <f>"263"</f>
        <v>263</v>
      </c>
      <c r="E1932" t="s">
        <v>7149</v>
      </c>
      <c r="F1932" t="s">
        <v>24</v>
      </c>
      <c r="G1932" t="s">
        <v>7150</v>
      </c>
      <c r="H1932" t="s">
        <v>17</v>
      </c>
      <c r="I1932" t="s">
        <v>18</v>
      </c>
      <c r="J1932" t="str">
        <f>"5144348447"</f>
        <v>5144348447</v>
      </c>
      <c r="K1932" t="s">
        <v>7151</v>
      </c>
      <c r="L1932" t="s">
        <v>168</v>
      </c>
      <c r="M1932" t="s">
        <v>21</v>
      </c>
    </row>
    <row r="1933" spans="1:13" x14ac:dyDescent="0.35">
      <c r="A1933" t="str">
        <f>"632-4250"</f>
        <v>632-4250</v>
      </c>
      <c r="B1933" t="s">
        <v>7152</v>
      </c>
      <c r="C1933" t="str">
        <f>"13712"</f>
        <v>13712</v>
      </c>
      <c r="E1933" t="s">
        <v>4258</v>
      </c>
      <c r="F1933" t="s">
        <v>24</v>
      </c>
      <c r="G1933" t="s">
        <v>7153</v>
      </c>
      <c r="H1933" t="s">
        <v>17</v>
      </c>
      <c r="I1933" t="s">
        <v>18</v>
      </c>
      <c r="J1933" t="str">
        <f>"5146291014"</f>
        <v>5146291014</v>
      </c>
      <c r="K1933" t="s">
        <v>7154</v>
      </c>
      <c r="L1933" t="s">
        <v>168</v>
      </c>
      <c r="M1933" t="s">
        <v>21</v>
      </c>
    </row>
    <row r="1934" spans="1:13" x14ac:dyDescent="0.35">
      <c r="A1934" t="str">
        <f>"165-0986"</f>
        <v>165-0986</v>
      </c>
      <c r="B1934" t="s">
        <v>7155</v>
      </c>
      <c r="C1934" t="str">
        <f>"1036"</f>
        <v>1036</v>
      </c>
      <c r="D1934" t="str">
        <f>"3"</f>
        <v>3</v>
      </c>
      <c r="E1934" t="s">
        <v>7156</v>
      </c>
      <c r="F1934" t="s">
        <v>54</v>
      </c>
      <c r="G1934" t="s">
        <v>7157</v>
      </c>
      <c r="H1934" t="s">
        <v>17</v>
      </c>
      <c r="I1934" t="s">
        <v>18</v>
      </c>
      <c r="J1934" t="str">
        <f>"5146056730"</f>
        <v>5146056730</v>
      </c>
      <c r="K1934" t="s">
        <v>7158</v>
      </c>
      <c r="L1934" t="s">
        <v>350</v>
      </c>
      <c r="M1934" t="s">
        <v>21</v>
      </c>
    </row>
    <row r="1935" spans="1:13" x14ac:dyDescent="0.35">
      <c r="A1935" t="str">
        <f>"885-6919"</f>
        <v>885-6919</v>
      </c>
      <c r="B1935" t="s">
        <v>7159</v>
      </c>
      <c r="C1935" t="str">
        <f>"26"</f>
        <v>26</v>
      </c>
      <c r="E1935" t="s">
        <v>7160</v>
      </c>
      <c r="F1935" t="s">
        <v>143</v>
      </c>
      <c r="G1935" t="s">
        <v>7161</v>
      </c>
      <c r="H1935" t="s">
        <v>17</v>
      </c>
      <c r="I1935" t="s">
        <v>18</v>
      </c>
      <c r="J1935" t="str">
        <f>"5148148469"</f>
        <v>5148148469</v>
      </c>
      <c r="K1935" t="s">
        <v>7162</v>
      </c>
      <c r="L1935" t="s">
        <v>319</v>
      </c>
      <c r="M1935" t="s">
        <v>21</v>
      </c>
    </row>
    <row r="1936" spans="1:13" x14ac:dyDescent="0.35">
      <c r="A1936" t="str">
        <f>"891-1552"</f>
        <v>891-1552</v>
      </c>
      <c r="B1936" t="s">
        <v>7163</v>
      </c>
      <c r="C1936" t="str">
        <f>"31 A"</f>
        <v>31 A</v>
      </c>
      <c r="E1936" t="s">
        <v>7164</v>
      </c>
      <c r="F1936" t="s">
        <v>32</v>
      </c>
      <c r="G1936" t="s">
        <v>7165</v>
      </c>
      <c r="H1936" t="s">
        <v>17</v>
      </c>
      <c r="I1936" t="s">
        <v>18</v>
      </c>
      <c r="J1936" t="str">
        <f>"5146887935"</f>
        <v>5146887935</v>
      </c>
      <c r="K1936" t="s">
        <v>7166</v>
      </c>
      <c r="L1936" t="s">
        <v>20</v>
      </c>
      <c r="M1936" t="s">
        <v>21</v>
      </c>
    </row>
    <row r="1937" spans="1:13" x14ac:dyDescent="0.35">
      <c r="A1937" t="str">
        <f>"895-1645"</f>
        <v>895-1645</v>
      </c>
      <c r="B1937" t="s">
        <v>7167</v>
      </c>
      <c r="C1937" t="str">
        <f>"3877"</f>
        <v>3877</v>
      </c>
      <c r="E1937" t="s">
        <v>7168</v>
      </c>
      <c r="F1937" t="s">
        <v>7169</v>
      </c>
      <c r="G1937" t="s">
        <v>7170</v>
      </c>
      <c r="H1937" t="s">
        <v>17</v>
      </c>
      <c r="I1937" t="s">
        <v>18</v>
      </c>
      <c r="J1937" t="str">
        <f>"4189053387"</f>
        <v>4189053387</v>
      </c>
      <c r="K1937" t="s">
        <v>7171</v>
      </c>
      <c r="L1937" t="s">
        <v>20</v>
      </c>
      <c r="M1937" t="s">
        <v>21</v>
      </c>
    </row>
    <row r="1938" spans="1:13" x14ac:dyDescent="0.35">
      <c r="A1938" t="str">
        <f>"184-4548"</f>
        <v>184-4548</v>
      </c>
      <c r="B1938" t="s">
        <v>7172</v>
      </c>
      <c r="C1938" t="str">
        <f>"1996"</f>
        <v>1996</v>
      </c>
      <c r="E1938" t="s">
        <v>7173</v>
      </c>
      <c r="F1938" t="s">
        <v>54</v>
      </c>
      <c r="G1938" t="s">
        <v>7174</v>
      </c>
      <c r="H1938" t="s">
        <v>17</v>
      </c>
      <c r="I1938" t="s">
        <v>18</v>
      </c>
      <c r="J1938" t="str">
        <f>"5149705430"</f>
        <v>5149705430</v>
      </c>
      <c r="K1938" t="s">
        <v>7175</v>
      </c>
      <c r="L1938" t="s">
        <v>350</v>
      </c>
      <c r="M1938" t="s">
        <v>21</v>
      </c>
    </row>
    <row r="1939" spans="1:13" x14ac:dyDescent="0.35">
      <c r="A1939" t="str">
        <f>"186-8436"</f>
        <v>186-8436</v>
      </c>
      <c r="B1939" t="s">
        <v>7176</v>
      </c>
      <c r="C1939" t="str">
        <f>"1140"</f>
        <v>1140</v>
      </c>
      <c r="D1939" t="str">
        <f>"1140"</f>
        <v>1140</v>
      </c>
      <c r="E1939" t="s">
        <v>7177</v>
      </c>
      <c r="F1939" t="s">
        <v>7178</v>
      </c>
      <c r="G1939" t="s">
        <v>7179</v>
      </c>
      <c r="H1939" t="s">
        <v>17</v>
      </c>
      <c r="I1939" t="s">
        <v>18</v>
      </c>
      <c r="J1939" t="str">
        <f>"4505661325"</f>
        <v>4505661325</v>
      </c>
      <c r="K1939" t="s">
        <v>7180</v>
      </c>
      <c r="L1939" t="s">
        <v>198</v>
      </c>
      <c r="M1939" t="s">
        <v>21</v>
      </c>
    </row>
    <row r="1940" spans="1:13" x14ac:dyDescent="0.35">
      <c r="A1940" t="str">
        <f>"225-6695"</f>
        <v>225-6695</v>
      </c>
      <c r="B1940" t="s">
        <v>7181</v>
      </c>
      <c r="C1940" t="str">
        <f>"6519"</f>
        <v>6519</v>
      </c>
      <c r="E1940" t="s">
        <v>7182</v>
      </c>
      <c r="F1940" t="s">
        <v>24</v>
      </c>
      <c r="G1940" t="s">
        <v>7183</v>
      </c>
      <c r="H1940" t="s">
        <v>17</v>
      </c>
      <c r="I1940" t="s">
        <v>18</v>
      </c>
      <c r="J1940" t="str">
        <f>"4387389400"</f>
        <v>4387389400</v>
      </c>
      <c r="K1940" t="s">
        <v>7184</v>
      </c>
      <c r="L1940" t="s">
        <v>86</v>
      </c>
      <c r="M1940" t="s">
        <v>21</v>
      </c>
    </row>
    <row r="1941" spans="1:13" x14ac:dyDescent="0.35">
      <c r="A1941" t="str">
        <f>"248-1145"</f>
        <v>248-1145</v>
      </c>
      <c r="B1941" t="s">
        <v>7185</v>
      </c>
      <c r="C1941" t="str">
        <f>"6568"</f>
        <v>6568</v>
      </c>
      <c r="E1941" t="s">
        <v>6468</v>
      </c>
      <c r="F1941" t="s">
        <v>24</v>
      </c>
      <c r="G1941" t="s">
        <v>7186</v>
      </c>
      <c r="H1941" t="s">
        <v>17</v>
      </c>
      <c r="I1941" t="s">
        <v>18</v>
      </c>
      <c r="J1941" t="str">
        <f>"4385248513"</f>
        <v>4385248513</v>
      </c>
      <c r="K1941" t="s">
        <v>7187</v>
      </c>
      <c r="L1941" t="s">
        <v>2316</v>
      </c>
      <c r="M1941" t="s">
        <v>21</v>
      </c>
    </row>
    <row r="1942" spans="1:13" x14ac:dyDescent="0.35">
      <c r="A1942" t="str">
        <f>"248-5251"</f>
        <v>248-5251</v>
      </c>
      <c r="B1942" t="s">
        <v>7188</v>
      </c>
      <c r="C1942" t="str">
        <f>"6291"</f>
        <v>6291</v>
      </c>
      <c r="E1942" t="s">
        <v>2386</v>
      </c>
      <c r="F1942" t="s">
        <v>24</v>
      </c>
      <c r="G1942" t="s">
        <v>7189</v>
      </c>
      <c r="H1942" t="s">
        <v>17</v>
      </c>
      <c r="I1942" t="s">
        <v>18</v>
      </c>
      <c r="J1942" t="str">
        <f>"4385256291"</f>
        <v>4385256291</v>
      </c>
      <c r="K1942" t="s">
        <v>7190</v>
      </c>
      <c r="L1942" t="s">
        <v>207</v>
      </c>
      <c r="M1942" t="s">
        <v>21</v>
      </c>
    </row>
    <row r="1943" spans="1:13" x14ac:dyDescent="0.35">
      <c r="A1943" t="str">
        <f>"248-7222"</f>
        <v>248-7222</v>
      </c>
      <c r="B1943" t="s">
        <v>7191</v>
      </c>
      <c r="C1943" t="str">
        <f>"965"</f>
        <v>965</v>
      </c>
      <c r="E1943" t="s">
        <v>7192</v>
      </c>
      <c r="F1943" t="s">
        <v>54</v>
      </c>
      <c r="G1943" t="s">
        <v>7193</v>
      </c>
      <c r="H1943" t="s">
        <v>17</v>
      </c>
      <c r="I1943" t="s">
        <v>18</v>
      </c>
      <c r="J1943" t="str">
        <f>"5145628262"</f>
        <v>5145628262</v>
      </c>
      <c r="K1943" t="s">
        <v>7194</v>
      </c>
      <c r="L1943" t="s">
        <v>29</v>
      </c>
      <c r="M1943" t="s">
        <v>21</v>
      </c>
    </row>
    <row r="1944" spans="1:13" x14ac:dyDescent="0.35">
      <c r="A1944" t="str">
        <f>"249-1165"</f>
        <v>249-1165</v>
      </c>
      <c r="B1944" t="s">
        <v>7195</v>
      </c>
      <c r="C1944" t="str">
        <f>"7560"</f>
        <v>7560</v>
      </c>
      <c r="D1944" t="str">
        <f>"6"</f>
        <v>6</v>
      </c>
      <c r="E1944" t="s">
        <v>2133</v>
      </c>
      <c r="F1944" t="s">
        <v>40</v>
      </c>
      <c r="G1944" t="s">
        <v>7196</v>
      </c>
      <c r="H1944" t="s">
        <v>17</v>
      </c>
      <c r="I1944" t="s">
        <v>18</v>
      </c>
      <c r="J1944" t="str">
        <f>"3679903098"</f>
        <v>3679903098</v>
      </c>
      <c r="K1944" t="s">
        <v>7197</v>
      </c>
      <c r="L1944" t="s">
        <v>198</v>
      </c>
      <c r="M1944" t="s">
        <v>21</v>
      </c>
    </row>
    <row r="1945" spans="1:13" x14ac:dyDescent="0.35">
      <c r="A1945" t="str">
        <f>"238-1965"</f>
        <v>238-1965</v>
      </c>
      <c r="B1945" t="s">
        <v>7198</v>
      </c>
      <c r="C1945" t="str">
        <f>"5950 A"</f>
        <v>5950 A</v>
      </c>
      <c r="D1945" t="str">
        <f>"A"</f>
        <v>A</v>
      </c>
      <c r="E1945" t="s">
        <v>3902</v>
      </c>
      <c r="F1945" t="s">
        <v>24</v>
      </c>
      <c r="G1945" t="s">
        <v>7199</v>
      </c>
      <c r="H1945" t="s">
        <v>17</v>
      </c>
      <c r="I1945" t="s">
        <v>18</v>
      </c>
      <c r="J1945" t="str">
        <f>"4388662501"</f>
        <v>4388662501</v>
      </c>
      <c r="K1945" t="s">
        <v>7200</v>
      </c>
      <c r="L1945" t="s">
        <v>27</v>
      </c>
      <c r="M1945" t="s">
        <v>21</v>
      </c>
    </row>
    <row r="1946" spans="1:13" x14ac:dyDescent="0.35">
      <c r="A1946" t="str">
        <f>"238-3309"</f>
        <v>238-3309</v>
      </c>
      <c r="B1946" t="s">
        <v>7201</v>
      </c>
      <c r="C1946" t="str">
        <f>"68"</f>
        <v>68</v>
      </c>
      <c r="E1946" t="s">
        <v>7202</v>
      </c>
      <c r="F1946" t="s">
        <v>43</v>
      </c>
      <c r="G1946" t="s">
        <v>7203</v>
      </c>
      <c r="H1946" t="s">
        <v>17</v>
      </c>
      <c r="I1946" t="s">
        <v>18</v>
      </c>
      <c r="J1946" t="str">
        <f>"4508987799"</f>
        <v>4508987799</v>
      </c>
      <c r="K1946" t="s">
        <v>7204</v>
      </c>
      <c r="L1946" t="s">
        <v>198</v>
      </c>
      <c r="M1946" t="s">
        <v>21</v>
      </c>
    </row>
    <row r="1947" spans="1:13" x14ac:dyDescent="0.35">
      <c r="A1947" t="str">
        <f>"246-8902"</f>
        <v>246-8902</v>
      </c>
      <c r="B1947" t="s">
        <v>7205</v>
      </c>
      <c r="C1947" t="str">
        <f>"415"</f>
        <v>415</v>
      </c>
      <c r="E1947" t="s">
        <v>7206</v>
      </c>
      <c r="F1947" t="s">
        <v>54</v>
      </c>
      <c r="G1947" t="s">
        <v>7207</v>
      </c>
      <c r="H1947" t="s">
        <v>17</v>
      </c>
      <c r="I1947" t="s">
        <v>18</v>
      </c>
      <c r="J1947" t="str">
        <f>"4382741191"</f>
        <v>4382741191</v>
      </c>
      <c r="K1947" t="s">
        <v>7208</v>
      </c>
      <c r="L1947" t="s">
        <v>20</v>
      </c>
      <c r="M1947" t="s">
        <v>21</v>
      </c>
    </row>
    <row r="1948" spans="1:13" x14ac:dyDescent="0.35">
      <c r="A1948" t="str">
        <f>"246-9794"</f>
        <v>246-9794</v>
      </c>
      <c r="B1948" t="s">
        <v>7209</v>
      </c>
      <c r="C1948" t="str">
        <f>"1750"</f>
        <v>1750</v>
      </c>
      <c r="E1948" t="s">
        <v>5518</v>
      </c>
      <c r="F1948" t="s">
        <v>24</v>
      </c>
      <c r="G1948" t="s">
        <v>5519</v>
      </c>
      <c r="H1948" t="s">
        <v>17</v>
      </c>
      <c r="I1948" t="s">
        <v>18</v>
      </c>
      <c r="J1948" t="str">
        <f>"5147010230"</f>
        <v>5147010230</v>
      </c>
      <c r="K1948" t="s">
        <v>7210</v>
      </c>
      <c r="L1948" t="s">
        <v>88</v>
      </c>
      <c r="M1948" t="s">
        <v>21</v>
      </c>
    </row>
    <row r="1949" spans="1:13" x14ac:dyDescent="0.35">
      <c r="A1949" t="str">
        <f>"248-3260"</f>
        <v>248-3260</v>
      </c>
      <c r="B1949" t="s">
        <v>7211</v>
      </c>
      <c r="C1949" t="str">
        <f>"122"</f>
        <v>122</v>
      </c>
      <c r="D1949" t="str">
        <f>"100"</f>
        <v>100</v>
      </c>
      <c r="E1949" t="s">
        <v>7212</v>
      </c>
      <c r="F1949" t="s">
        <v>7213</v>
      </c>
      <c r="G1949" t="s">
        <v>7214</v>
      </c>
      <c r="H1949" t="s">
        <v>17</v>
      </c>
      <c r="I1949" t="s">
        <v>18</v>
      </c>
      <c r="J1949" t="str">
        <f>"4385045302"</f>
        <v>4385045302</v>
      </c>
      <c r="K1949" t="s">
        <v>7215</v>
      </c>
      <c r="L1949" t="s">
        <v>350</v>
      </c>
      <c r="M1949" t="s">
        <v>21</v>
      </c>
    </row>
    <row r="1950" spans="1:13" x14ac:dyDescent="0.35">
      <c r="A1950" t="str">
        <f>"248-4809"</f>
        <v>248-4809</v>
      </c>
      <c r="B1950" t="s">
        <v>7216</v>
      </c>
      <c r="C1950" t="str">
        <f>"10823"</f>
        <v>10823</v>
      </c>
      <c r="E1950" t="s">
        <v>7217</v>
      </c>
      <c r="F1950" t="s">
        <v>24</v>
      </c>
      <c r="G1950" t="s">
        <v>7218</v>
      </c>
      <c r="H1950" t="s">
        <v>17</v>
      </c>
      <c r="I1950" t="s">
        <v>18</v>
      </c>
      <c r="J1950" t="str">
        <f>"4384081135"</f>
        <v>4384081135</v>
      </c>
      <c r="K1950" t="s">
        <v>7219</v>
      </c>
      <c r="L1950" t="s">
        <v>466</v>
      </c>
      <c r="M1950" t="s">
        <v>21</v>
      </c>
    </row>
    <row r="1951" spans="1:13" x14ac:dyDescent="0.35">
      <c r="A1951" t="str">
        <f>"620-3054"</f>
        <v>620-3054</v>
      </c>
      <c r="B1951" t="s">
        <v>7220</v>
      </c>
      <c r="C1951" t="str">
        <f>"150"</f>
        <v>150</v>
      </c>
      <c r="D1951" t="str">
        <f>"150"</f>
        <v>150</v>
      </c>
      <c r="E1951" t="s">
        <v>7221</v>
      </c>
      <c r="F1951" t="s">
        <v>32</v>
      </c>
      <c r="G1951" t="s">
        <v>7222</v>
      </c>
      <c r="H1951" t="s">
        <v>17</v>
      </c>
      <c r="I1951" t="s">
        <v>18</v>
      </c>
      <c r="J1951" t="str">
        <f>"5142137894"</f>
        <v>5142137894</v>
      </c>
      <c r="K1951" t="s">
        <v>7223</v>
      </c>
      <c r="L1951" t="s">
        <v>350</v>
      </c>
      <c r="M1951" t="s">
        <v>21</v>
      </c>
    </row>
    <row r="1952" spans="1:13" x14ac:dyDescent="0.35">
      <c r="A1952" t="str">
        <f>"629-7194"</f>
        <v>629-7194</v>
      </c>
      <c r="B1952" t="s">
        <v>7224</v>
      </c>
      <c r="C1952" t="str">
        <f>"3765"</f>
        <v>3765</v>
      </c>
      <c r="E1952" t="s">
        <v>7225</v>
      </c>
      <c r="F1952" t="s">
        <v>4091</v>
      </c>
      <c r="G1952" t="s">
        <v>7226</v>
      </c>
      <c r="H1952" t="s">
        <v>17</v>
      </c>
      <c r="I1952" t="s">
        <v>18</v>
      </c>
      <c r="J1952" t="str">
        <f>"4384105199"</f>
        <v>4384105199</v>
      </c>
      <c r="K1952" t="s">
        <v>7227</v>
      </c>
      <c r="L1952" t="s">
        <v>39</v>
      </c>
      <c r="M1952" t="s">
        <v>21</v>
      </c>
    </row>
    <row r="1953" spans="1:13" x14ac:dyDescent="0.35">
      <c r="A1953" t="str">
        <f>"629-7266"</f>
        <v>629-7266</v>
      </c>
      <c r="B1953" t="s">
        <v>7228</v>
      </c>
      <c r="C1953" t="str">
        <f>"5444"</f>
        <v>5444</v>
      </c>
      <c r="D1953" t="str">
        <f>"1"</f>
        <v>1</v>
      </c>
      <c r="E1953" t="s">
        <v>694</v>
      </c>
      <c r="F1953" t="s">
        <v>24</v>
      </c>
      <c r="G1953" t="s">
        <v>4224</v>
      </c>
      <c r="H1953" t="s">
        <v>17</v>
      </c>
      <c r="I1953" t="s">
        <v>18</v>
      </c>
      <c r="J1953" t="str">
        <f>"4382204463"</f>
        <v>4382204463</v>
      </c>
      <c r="K1953" t="s">
        <v>7229</v>
      </c>
      <c r="L1953" t="s">
        <v>396</v>
      </c>
      <c r="M1953" t="s">
        <v>21</v>
      </c>
    </row>
    <row r="1954" spans="1:13" x14ac:dyDescent="0.35">
      <c r="A1954" t="str">
        <f>"629-7337"</f>
        <v>629-7337</v>
      </c>
      <c r="B1954" t="s">
        <v>7230</v>
      </c>
      <c r="C1954" t="str">
        <f>"852"</f>
        <v>852</v>
      </c>
      <c r="E1954" t="s">
        <v>2758</v>
      </c>
      <c r="F1954" t="s">
        <v>24</v>
      </c>
      <c r="G1954" t="s">
        <v>1349</v>
      </c>
      <c r="H1954" t="s">
        <v>17</v>
      </c>
      <c r="I1954" t="s">
        <v>18</v>
      </c>
      <c r="J1954" t="str">
        <f>"5149661326"</f>
        <v>5149661326</v>
      </c>
      <c r="K1954" t="s">
        <v>7231</v>
      </c>
      <c r="L1954" t="s">
        <v>86</v>
      </c>
      <c r="M1954" t="s">
        <v>21</v>
      </c>
    </row>
    <row r="1955" spans="1:13" x14ac:dyDescent="0.35">
      <c r="A1955" t="str">
        <f>"630-3889"</f>
        <v>630-3889</v>
      </c>
      <c r="B1955" t="s">
        <v>7232</v>
      </c>
      <c r="C1955" t="str">
        <f>"4274"</f>
        <v>4274</v>
      </c>
      <c r="E1955" t="s">
        <v>7233</v>
      </c>
      <c r="F1955" t="s">
        <v>2533</v>
      </c>
      <c r="G1955" t="s">
        <v>7234</v>
      </c>
      <c r="H1955" t="s">
        <v>17</v>
      </c>
      <c r="I1955" t="s">
        <v>18</v>
      </c>
      <c r="J1955" t="str">
        <f>"4188084742"</f>
        <v>4188084742</v>
      </c>
      <c r="K1955" t="s">
        <v>7235</v>
      </c>
      <c r="L1955" t="s">
        <v>20</v>
      </c>
      <c r="M1955" t="s">
        <v>21</v>
      </c>
    </row>
    <row r="1956" spans="1:13" x14ac:dyDescent="0.35">
      <c r="A1956" t="str">
        <f>"630-4054"</f>
        <v>630-4054</v>
      </c>
      <c r="B1956" t="s">
        <v>7236</v>
      </c>
      <c r="C1956" t="str">
        <f>"8406"</f>
        <v>8406</v>
      </c>
      <c r="E1956" t="s">
        <v>7237</v>
      </c>
      <c r="F1956" t="s">
        <v>24</v>
      </c>
      <c r="G1956" t="s">
        <v>7238</v>
      </c>
      <c r="H1956" t="s">
        <v>17</v>
      </c>
      <c r="I1956" t="s">
        <v>18</v>
      </c>
      <c r="J1956" t="str">
        <f>"5146212516"</f>
        <v>5146212516</v>
      </c>
      <c r="K1956" t="s">
        <v>7239</v>
      </c>
      <c r="L1956" t="s">
        <v>86</v>
      </c>
      <c r="M1956" t="s">
        <v>21</v>
      </c>
    </row>
    <row r="1957" spans="1:13" x14ac:dyDescent="0.35">
      <c r="A1957" t="str">
        <f>"630-4417"</f>
        <v>630-4417</v>
      </c>
      <c r="B1957" t="s">
        <v>7240</v>
      </c>
      <c r="C1957" t="str">
        <f>"6601"</f>
        <v>6601</v>
      </c>
      <c r="D1957" t="str">
        <f>"22"</f>
        <v>22</v>
      </c>
      <c r="E1957" t="s">
        <v>1276</v>
      </c>
      <c r="F1957" t="s">
        <v>24</v>
      </c>
      <c r="G1957" t="s">
        <v>6780</v>
      </c>
      <c r="H1957" t="s">
        <v>17</v>
      </c>
      <c r="I1957" t="s">
        <v>18</v>
      </c>
      <c r="J1957" t="str">
        <f>"4385241631"</f>
        <v>4385241631</v>
      </c>
      <c r="K1957" t="s">
        <v>7241</v>
      </c>
      <c r="L1957" t="s">
        <v>869</v>
      </c>
      <c r="M1957" t="s">
        <v>21</v>
      </c>
    </row>
    <row r="1958" spans="1:13" x14ac:dyDescent="0.35">
      <c r="A1958" t="str">
        <f>"630-4462"</f>
        <v>630-4462</v>
      </c>
      <c r="B1958" t="s">
        <v>7242</v>
      </c>
      <c r="C1958" t="str">
        <f>"221"</f>
        <v>221</v>
      </c>
      <c r="E1958" t="s">
        <v>7243</v>
      </c>
      <c r="F1958" t="s">
        <v>143</v>
      </c>
      <c r="G1958" t="s">
        <v>7244</v>
      </c>
      <c r="H1958" t="s">
        <v>17</v>
      </c>
      <c r="I1958" t="s">
        <v>18</v>
      </c>
      <c r="J1958" t="str">
        <f>"5149950981"</f>
        <v>5149950981</v>
      </c>
      <c r="K1958" t="s">
        <v>7245</v>
      </c>
      <c r="L1958" t="s">
        <v>29</v>
      </c>
      <c r="M1958" t="s">
        <v>21</v>
      </c>
    </row>
    <row r="1959" spans="1:13" x14ac:dyDescent="0.35">
      <c r="A1959" t="str">
        <f>"631-4942"</f>
        <v>631-4942</v>
      </c>
      <c r="B1959" t="s">
        <v>7246</v>
      </c>
      <c r="C1959" t="str">
        <f>"755"</f>
        <v>755</v>
      </c>
      <c r="E1959" t="s">
        <v>7247</v>
      </c>
      <c r="F1959" t="s">
        <v>54</v>
      </c>
      <c r="G1959" t="s">
        <v>7248</v>
      </c>
      <c r="H1959" t="s">
        <v>17</v>
      </c>
      <c r="I1959" t="s">
        <v>18</v>
      </c>
      <c r="J1959" t="str">
        <f>"4506618633"</f>
        <v>4506618633</v>
      </c>
      <c r="K1959" t="s">
        <v>7249</v>
      </c>
      <c r="L1959" t="s">
        <v>198</v>
      </c>
      <c r="M1959" t="s">
        <v>21</v>
      </c>
    </row>
    <row r="1960" spans="1:13" x14ac:dyDescent="0.35">
      <c r="A1960" t="str">
        <f>"631-5260"</f>
        <v>631-5260</v>
      </c>
      <c r="B1960" t="s">
        <v>7250</v>
      </c>
      <c r="C1960" t="str">
        <f>"8484"</f>
        <v>8484</v>
      </c>
      <c r="E1960" t="s">
        <v>7251</v>
      </c>
      <c r="F1960" t="s">
        <v>24</v>
      </c>
      <c r="G1960" t="s">
        <v>7252</v>
      </c>
      <c r="H1960" t="s">
        <v>17</v>
      </c>
      <c r="I1960" t="s">
        <v>18</v>
      </c>
      <c r="J1960" t="str">
        <f>"4389787674"</f>
        <v>4389787674</v>
      </c>
      <c r="K1960" t="s">
        <v>7253</v>
      </c>
      <c r="L1960" t="s">
        <v>86</v>
      </c>
      <c r="M1960" t="s">
        <v>21</v>
      </c>
    </row>
    <row r="1961" spans="1:13" x14ac:dyDescent="0.35">
      <c r="A1961" t="str">
        <f>"631-6790"</f>
        <v>631-6790</v>
      </c>
      <c r="B1961" t="s">
        <v>7254</v>
      </c>
      <c r="C1961" t="str">
        <f>"5418"</f>
        <v>5418</v>
      </c>
      <c r="E1961" t="s">
        <v>2313</v>
      </c>
      <c r="F1961" t="s">
        <v>24</v>
      </c>
      <c r="G1961" t="s">
        <v>7255</v>
      </c>
      <c r="H1961" t="s">
        <v>17</v>
      </c>
      <c r="I1961" t="s">
        <v>18</v>
      </c>
      <c r="J1961" t="str">
        <f>"4386803810"</f>
        <v>4386803810</v>
      </c>
      <c r="K1961" t="s">
        <v>7256</v>
      </c>
      <c r="L1961" t="s">
        <v>86</v>
      </c>
      <c r="M1961" t="s">
        <v>21</v>
      </c>
    </row>
    <row r="1962" spans="1:13" x14ac:dyDescent="0.35">
      <c r="A1962" t="str">
        <f>"631-6799"</f>
        <v>631-6799</v>
      </c>
      <c r="B1962" t="s">
        <v>7257</v>
      </c>
      <c r="C1962" t="str">
        <f>"6763"</f>
        <v>6763</v>
      </c>
      <c r="E1962" t="s">
        <v>7258</v>
      </c>
      <c r="F1962" t="s">
        <v>24</v>
      </c>
      <c r="G1962" t="s">
        <v>7259</v>
      </c>
      <c r="H1962" t="s">
        <v>17</v>
      </c>
      <c r="I1962" t="s">
        <v>18</v>
      </c>
      <c r="J1962" t="str">
        <f>"5147055307"</f>
        <v>5147055307</v>
      </c>
      <c r="K1962" t="s">
        <v>7260</v>
      </c>
      <c r="L1962" t="s">
        <v>86</v>
      </c>
      <c r="M1962" t="s">
        <v>21</v>
      </c>
    </row>
    <row r="1963" spans="1:13" x14ac:dyDescent="0.35">
      <c r="A1963" t="str">
        <f>"631-6878"</f>
        <v>631-6878</v>
      </c>
      <c r="B1963" t="s">
        <v>7261</v>
      </c>
      <c r="C1963" t="str">
        <f>"6595"</f>
        <v>6595</v>
      </c>
      <c r="D1963" t="str">
        <f>"6"</f>
        <v>6</v>
      </c>
      <c r="E1963" t="s">
        <v>4620</v>
      </c>
      <c r="F1963" t="s">
        <v>24</v>
      </c>
      <c r="G1963" t="s">
        <v>7262</v>
      </c>
      <c r="H1963" t="s">
        <v>17</v>
      </c>
      <c r="I1963" t="s">
        <v>18</v>
      </c>
      <c r="J1963" t="str">
        <f>"4386229191"</f>
        <v>4386229191</v>
      </c>
      <c r="K1963" t="s">
        <v>7263</v>
      </c>
      <c r="L1963" t="s">
        <v>86</v>
      </c>
      <c r="M1963" t="s">
        <v>21</v>
      </c>
    </row>
    <row r="1964" spans="1:13" x14ac:dyDescent="0.35">
      <c r="A1964" t="str">
        <f>"631-7444"</f>
        <v>631-7444</v>
      </c>
      <c r="B1964" t="s">
        <v>7264</v>
      </c>
      <c r="C1964" t="str">
        <f>"11562"</f>
        <v>11562</v>
      </c>
      <c r="E1964" t="s">
        <v>268</v>
      </c>
      <c r="F1964" t="s">
        <v>24</v>
      </c>
      <c r="G1964" t="s">
        <v>7265</v>
      </c>
      <c r="H1964" t="s">
        <v>17</v>
      </c>
      <c r="I1964" t="s">
        <v>18</v>
      </c>
      <c r="J1964" t="str">
        <f>"5145839113"</f>
        <v>5145839113</v>
      </c>
      <c r="K1964" t="s">
        <v>7266</v>
      </c>
      <c r="L1964" t="s">
        <v>39</v>
      </c>
      <c r="M1964" t="s">
        <v>21</v>
      </c>
    </row>
    <row r="1965" spans="1:13" x14ac:dyDescent="0.35">
      <c r="A1965" t="str">
        <f>"631-7476"</f>
        <v>631-7476</v>
      </c>
      <c r="B1965" t="s">
        <v>7267</v>
      </c>
      <c r="C1965" t="str">
        <f>"1400"</f>
        <v>1400</v>
      </c>
      <c r="E1965" t="s">
        <v>238</v>
      </c>
      <c r="F1965" t="s">
        <v>24</v>
      </c>
      <c r="G1965" t="s">
        <v>3234</v>
      </c>
      <c r="H1965" t="s">
        <v>17</v>
      </c>
      <c r="I1965" t="s">
        <v>18</v>
      </c>
      <c r="J1965" t="str">
        <f>"5145196419"</f>
        <v>5145196419</v>
      </c>
      <c r="K1965" t="s">
        <v>7268</v>
      </c>
      <c r="L1965" t="s">
        <v>466</v>
      </c>
      <c r="M1965" t="s">
        <v>21</v>
      </c>
    </row>
    <row r="1966" spans="1:13" x14ac:dyDescent="0.35">
      <c r="A1966" t="str">
        <f>"631-7906"</f>
        <v>631-7906</v>
      </c>
      <c r="B1966" t="s">
        <v>7269</v>
      </c>
      <c r="C1966" t="str">
        <f>"6400"</f>
        <v>6400</v>
      </c>
      <c r="E1966" t="s">
        <v>169</v>
      </c>
      <c r="F1966" t="s">
        <v>24</v>
      </c>
      <c r="G1966" t="s">
        <v>170</v>
      </c>
      <c r="H1966" t="s">
        <v>17</v>
      </c>
      <c r="I1966" t="s">
        <v>18</v>
      </c>
      <c r="J1966" t="str">
        <f>"4388339883"</f>
        <v>4388339883</v>
      </c>
      <c r="K1966" t="s">
        <v>7270</v>
      </c>
      <c r="L1966" t="s">
        <v>86</v>
      </c>
      <c r="M1966" t="s">
        <v>21</v>
      </c>
    </row>
    <row r="1967" spans="1:13" x14ac:dyDescent="0.35">
      <c r="A1967" t="str">
        <f>"631-9919"</f>
        <v>631-9919</v>
      </c>
      <c r="B1967" t="s">
        <v>7271</v>
      </c>
      <c r="C1967" t="str">
        <f>"6492"</f>
        <v>6492</v>
      </c>
      <c r="D1967" t="str">
        <f>"3"</f>
        <v>3</v>
      </c>
      <c r="E1967" t="s">
        <v>7272</v>
      </c>
      <c r="F1967" t="s">
        <v>24</v>
      </c>
      <c r="G1967" t="s">
        <v>5411</v>
      </c>
      <c r="H1967" t="s">
        <v>17</v>
      </c>
      <c r="I1967" t="s">
        <v>18</v>
      </c>
      <c r="J1967" t="str">
        <f>"4388805843"</f>
        <v>4388805843</v>
      </c>
      <c r="K1967" t="s">
        <v>7273</v>
      </c>
      <c r="L1967" t="s">
        <v>86</v>
      </c>
      <c r="M1967" t="s">
        <v>21</v>
      </c>
    </row>
    <row r="1968" spans="1:13" x14ac:dyDescent="0.35">
      <c r="A1968" t="str">
        <f>"632-0695"</f>
        <v>632-0695</v>
      </c>
      <c r="B1968" t="s">
        <v>7274</v>
      </c>
      <c r="C1968" t="str">
        <f>"49"</f>
        <v>49</v>
      </c>
      <c r="E1968" t="s">
        <v>4694</v>
      </c>
      <c r="F1968" t="s">
        <v>32</v>
      </c>
      <c r="G1968" t="s">
        <v>7275</v>
      </c>
      <c r="H1968" t="s">
        <v>17</v>
      </c>
      <c r="I1968" t="s">
        <v>18</v>
      </c>
      <c r="J1968" t="str">
        <f>"5145882076"</f>
        <v>5145882076</v>
      </c>
      <c r="K1968" t="s">
        <v>7276</v>
      </c>
      <c r="L1968" t="s">
        <v>39</v>
      </c>
      <c r="M1968" t="s">
        <v>21</v>
      </c>
    </row>
    <row r="1969" spans="1:13" x14ac:dyDescent="0.35">
      <c r="A1969" t="str">
        <f>"632-1188"</f>
        <v>632-1188</v>
      </c>
      <c r="B1969" t="s">
        <v>7277</v>
      </c>
      <c r="C1969" t="str">
        <f>"355"</f>
        <v>355</v>
      </c>
      <c r="E1969" t="s">
        <v>7278</v>
      </c>
      <c r="F1969" t="s">
        <v>54</v>
      </c>
      <c r="G1969" t="s">
        <v>7279</v>
      </c>
      <c r="H1969" t="s">
        <v>17</v>
      </c>
      <c r="I1969" t="s">
        <v>18</v>
      </c>
      <c r="J1969" t="str">
        <f>"4384083101"</f>
        <v>4384083101</v>
      </c>
      <c r="K1969" t="s">
        <v>7280</v>
      </c>
      <c r="L1969" t="s">
        <v>86</v>
      </c>
      <c r="M1969" t="s">
        <v>21</v>
      </c>
    </row>
    <row r="1970" spans="1:13" x14ac:dyDescent="0.35">
      <c r="A1970" t="str">
        <f>"632-1189"</f>
        <v>632-1189</v>
      </c>
      <c r="B1970" t="s">
        <v>7281</v>
      </c>
      <c r="C1970" t="str">
        <f>"9248"</f>
        <v>9248</v>
      </c>
      <c r="E1970" t="s">
        <v>1235</v>
      </c>
      <c r="F1970" t="s">
        <v>24</v>
      </c>
      <c r="G1970" t="s">
        <v>7282</v>
      </c>
      <c r="H1970" t="s">
        <v>17</v>
      </c>
      <c r="I1970" t="s">
        <v>18</v>
      </c>
      <c r="J1970" t="str">
        <f>"5146067459"</f>
        <v>5146067459</v>
      </c>
      <c r="K1970" t="s">
        <v>7283</v>
      </c>
      <c r="L1970" t="s">
        <v>86</v>
      </c>
      <c r="M1970" t="s">
        <v>21</v>
      </c>
    </row>
    <row r="1971" spans="1:13" x14ac:dyDescent="0.35">
      <c r="A1971" t="str">
        <f>"104-7673"</f>
        <v>104-7673</v>
      </c>
      <c r="B1971" t="s">
        <v>7284</v>
      </c>
      <c r="C1971" t="str">
        <f>"4410"</f>
        <v>4410</v>
      </c>
      <c r="E1971" t="s">
        <v>7285</v>
      </c>
      <c r="F1971" t="s">
        <v>54</v>
      </c>
      <c r="G1971" t="s">
        <v>4141</v>
      </c>
      <c r="H1971" t="s">
        <v>17</v>
      </c>
      <c r="I1971" t="s">
        <v>18</v>
      </c>
      <c r="J1971" t="str">
        <f>"4382256854"</f>
        <v>4382256854</v>
      </c>
      <c r="K1971" t="s">
        <v>7286</v>
      </c>
      <c r="L1971" t="s">
        <v>29</v>
      </c>
      <c r="M1971" t="s">
        <v>21</v>
      </c>
    </row>
    <row r="1972" spans="1:13" x14ac:dyDescent="0.35">
      <c r="A1972" t="str">
        <f>"105-6536"</f>
        <v>105-6536</v>
      </c>
      <c r="B1972" t="s">
        <v>7287</v>
      </c>
      <c r="C1972" t="str">
        <f>"37"</f>
        <v>37</v>
      </c>
      <c r="D1972" t="str">
        <f>"561"</f>
        <v>561</v>
      </c>
      <c r="E1972" t="s">
        <v>7288</v>
      </c>
      <c r="F1972" t="s">
        <v>1763</v>
      </c>
      <c r="G1972" t="s">
        <v>7289</v>
      </c>
      <c r="H1972" t="s">
        <v>17</v>
      </c>
      <c r="I1972" t="s">
        <v>18</v>
      </c>
      <c r="J1972" t="str">
        <f>"5815609053"</f>
        <v>5815609053</v>
      </c>
      <c r="K1972" t="s">
        <v>7290</v>
      </c>
      <c r="L1972" t="s">
        <v>132</v>
      </c>
      <c r="M1972" t="s">
        <v>21</v>
      </c>
    </row>
    <row r="1973" spans="1:13" x14ac:dyDescent="0.35">
      <c r="A1973" t="str">
        <f>"152-3321"</f>
        <v>152-3321</v>
      </c>
      <c r="B1973" t="s">
        <v>7291</v>
      </c>
      <c r="C1973" t="str">
        <f>"7837"</f>
        <v>7837</v>
      </c>
      <c r="E1973" t="s">
        <v>7292</v>
      </c>
      <c r="F1973" t="s">
        <v>24</v>
      </c>
      <c r="G1973" t="s">
        <v>7293</v>
      </c>
      <c r="H1973" t="s">
        <v>17</v>
      </c>
      <c r="I1973" t="s">
        <v>18</v>
      </c>
      <c r="J1973" t="str">
        <f>"5143587089"</f>
        <v>5143587089</v>
      </c>
      <c r="K1973" t="s">
        <v>7294</v>
      </c>
      <c r="L1973" t="s">
        <v>39</v>
      </c>
      <c r="M1973" t="s">
        <v>21</v>
      </c>
    </row>
    <row r="1974" spans="1:13" x14ac:dyDescent="0.35">
      <c r="A1974" t="str">
        <f>"150-4064"</f>
        <v>150-4064</v>
      </c>
      <c r="B1974" t="s">
        <v>7295</v>
      </c>
      <c r="C1974" t="str">
        <f>"9308"</f>
        <v>9308</v>
      </c>
      <c r="E1974" t="s">
        <v>4820</v>
      </c>
      <c r="F1974" t="s">
        <v>24</v>
      </c>
      <c r="G1974" t="s">
        <v>486</v>
      </c>
      <c r="H1974" t="s">
        <v>17</v>
      </c>
      <c r="I1974" t="s">
        <v>18</v>
      </c>
      <c r="J1974" t="str">
        <f>"4385049731"</f>
        <v>4385049731</v>
      </c>
      <c r="K1974" t="s">
        <v>7296</v>
      </c>
      <c r="L1974" t="s">
        <v>27</v>
      </c>
      <c r="M1974" t="s">
        <v>21</v>
      </c>
    </row>
    <row r="1975" spans="1:13" x14ac:dyDescent="0.35">
      <c r="A1975" t="str">
        <f>"633-0608"</f>
        <v>633-0608</v>
      </c>
      <c r="B1975" t="s">
        <v>7297</v>
      </c>
      <c r="C1975" t="str">
        <f>"8865"</f>
        <v>8865</v>
      </c>
      <c r="E1975" t="s">
        <v>144</v>
      </c>
      <c r="F1975" t="s">
        <v>24</v>
      </c>
      <c r="G1975" t="s">
        <v>7298</v>
      </c>
      <c r="H1975" t="s">
        <v>17</v>
      </c>
      <c r="I1975" t="s">
        <v>18</v>
      </c>
      <c r="J1975" t="str">
        <f>"4388820605"</f>
        <v>4388820605</v>
      </c>
      <c r="K1975" t="s">
        <v>7299</v>
      </c>
      <c r="L1975" t="s">
        <v>86</v>
      </c>
      <c r="M1975" t="s">
        <v>21</v>
      </c>
    </row>
    <row r="1976" spans="1:13" x14ac:dyDescent="0.35">
      <c r="A1976" t="str">
        <f>"633-0760"</f>
        <v>633-0760</v>
      </c>
      <c r="B1976" t="s">
        <v>7300</v>
      </c>
      <c r="C1976" t="str">
        <f>"12631"</f>
        <v>12631</v>
      </c>
      <c r="E1976" t="s">
        <v>837</v>
      </c>
      <c r="F1976" t="s">
        <v>24</v>
      </c>
      <c r="G1976" t="s">
        <v>1596</v>
      </c>
      <c r="H1976" t="s">
        <v>17</v>
      </c>
      <c r="I1976" t="s">
        <v>18</v>
      </c>
      <c r="J1976" t="str">
        <f>"4385192256"</f>
        <v>4385192256</v>
      </c>
      <c r="K1976" t="s">
        <v>7301</v>
      </c>
      <c r="L1976" t="s">
        <v>86</v>
      </c>
      <c r="M1976" t="s">
        <v>21</v>
      </c>
    </row>
    <row r="1977" spans="1:13" x14ac:dyDescent="0.35">
      <c r="A1977" t="str">
        <f>"633-0877"</f>
        <v>633-0877</v>
      </c>
      <c r="B1977" t="s">
        <v>7302</v>
      </c>
      <c r="C1977" t="str">
        <f>"1325"</f>
        <v>1325</v>
      </c>
      <c r="E1977" t="s">
        <v>4053</v>
      </c>
      <c r="F1977" t="s">
        <v>32</v>
      </c>
      <c r="G1977" t="s">
        <v>7303</v>
      </c>
      <c r="H1977" t="s">
        <v>17</v>
      </c>
      <c r="I1977" t="s">
        <v>18</v>
      </c>
      <c r="J1977" t="str">
        <f>"5142175790"</f>
        <v>5142175790</v>
      </c>
      <c r="K1977" t="s">
        <v>7304</v>
      </c>
      <c r="L1977" t="s">
        <v>86</v>
      </c>
      <c r="M1977" t="s">
        <v>21</v>
      </c>
    </row>
    <row r="1978" spans="1:13" x14ac:dyDescent="0.35">
      <c r="A1978" t="str">
        <f>"633-1016"</f>
        <v>633-1016</v>
      </c>
      <c r="B1978" t="s">
        <v>7305</v>
      </c>
      <c r="C1978" t="str">
        <f>"4140"</f>
        <v>4140</v>
      </c>
      <c r="D1978" t="str">
        <f>"5"</f>
        <v>5</v>
      </c>
      <c r="E1978" t="s">
        <v>7306</v>
      </c>
      <c r="F1978" t="s">
        <v>24</v>
      </c>
      <c r="G1978" t="s">
        <v>7307</v>
      </c>
      <c r="H1978" t="s">
        <v>17</v>
      </c>
      <c r="I1978" t="s">
        <v>18</v>
      </c>
      <c r="J1978" t="str">
        <f>"4382299443"</f>
        <v>4382299443</v>
      </c>
      <c r="K1978" t="s">
        <v>7308</v>
      </c>
      <c r="L1978" t="s">
        <v>2316</v>
      </c>
      <c r="M1978" t="s">
        <v>21</v>
      </c>
    </row>
    <row r="1979" spans="1:13" x14ac:dyDescent="0.35">
      <c r="A1979" t="str">
        <f>"183-0033"</f>
        <v>183-0033</v>
      </c>
      <c r="B1979" t="s">
        <v>7309</v>
      </c>
      <c r="C1979" t="str">
        <f>"1200"</f>
        <v>1200</v>
      </c>
      <c r="D1979" t="str">
        <f>"18C"</f>
        <v>18C</v>
      </c>
      <c r="E1979" t="s">
        <v>7310</v>
      </c>
      <c r="F1979" t="s">
        <v>40</v>
      </c>
      <c r="G1979" t="s">
        <v>7311</v>
      </c>
      <c r="H1979" t="s">
        <v>17</v>
      </c>
      <c r="I1979" t="s">
        <v>18</v>
      </c>
      <c r="J1979" t="str">
        <f>"4503656335"</f>
        <v>4503656335</v>
      </c>
      <c r="K1979" t="s">
        <v>7312</v>
      </c>
      <c r="L1979" t="s">
        <v>20</v>
      </c>
      <c r="M1979" t="s">
        <v>21</v>
      </c>
    </row>
    <row r="1980" spans="1:13" x14ac:dyDescent="0.35">
      <c r="A1980" t="str">
        <f>"183-8199"</f>
        <v>183-8199</v>
      </c>
      <c r="B1980" t="s">
        <v>7313</v>
      </c>
      <c r="C1980" t="str">
        <f>"1228"</f>
        <v>1228</v>
      </c>
      <c r="D1980" t="str">
        <f>"1228"</f>
        <v>1228</v>
      </c>
      <c r="E1980" t="s">
        <v>1281</v>
      </c>
      <c r="F1980" t="s">
        <v>1022</v>
      </c>
      <c r="G1980" t="s">
        <v>7314</v>
      </c>
      <c r="H1980" t="s">
        <v>17</v>
      </c>
      <c r="I1980" t="s">
        <v>18</v>
      </c>
      <c r="J1980" t="str">
        <f>"5147718837"</f>
        <v>5147718837</v>
      </c>
      <c r="K1980" t="s">
        <v>7315</v>
      </c>
      <c r="L1980" t="s">
        <v>350</v>
      </c>
      <c r="M1980" t="s">
        <v>21</v>
      </c>
    </row>
    <row r="1981" spans="1:13" x14ac:dyDescent="0.35">
      <c r="A1981" t="str">
        <f>"131-9381"</f>
        <v>131-9381</v>
      </c>
      <c r="B1981" t="s">
        <v>7316</v>
      </c>
      <c r="C1981" t="str">
        <f>"2055"</f>
        <v>2055</v>
      </c>
      <c r="D1981" t="str">
        <f>"2"</f>
        <v>2</v>
      </c>
      <c r="E1981" t="s">
        <v>2726</v>
      </c>
      <c r="F1981" t="s">
        <v>24</v>
      </c>
      <c r="G1981" t="s">
        <v>7317</v>
      </c>
      <c r="H1981" t="s">
        <v>17</v>
      </c>
      <c r="I1981" t="s">
        <v>18</v>
      </c>
      <c r="J1981" t="str">
        <f>"5146636398"</f>
        <v>5146636398</v>
      </c>
      <c r="K1981" t="s">
        <v>7318</v>
      </c>
      <c r="L1981" t="s">
        <v>350</v>
      </c>
      <c r="M1981" t="s">
        <v>21</v>
      </c>
    </row>
    <row r="1982" spans="1:13" x14ac:dyDescent="0.35">
      <c r="A1982" t="str">
        <f>"632-5101"</f>
        <v>632-5101</v>
      </c>
      <c r="B1982" t="s">
        <v>7319</v>
      </c>
      <c r="C1982" t="str">
        <f>"2110"</f>
        <v>2110</v>
      </c>
      <c r="E1982" t="s">
        <v>2389</v>
      </c>
      <c r="F1982" t="s">
        <v>24</v>
      </c>
      <c r="G1982" t="s">
        <v>7320</v>
      </c>
      <c r="H1982" t="s">
        <v>17</v>
      </c>
      <c r="I1982" t="s">
        <v>18</v>
      </c>
      <c r="J1982" t="str">
        <f>"4384015752"</f>
        <v>4384015752</v>
      </c>
      <c r="K1982" t="s">
        <v>7321</v>
      </c>
      <c r="L1982" t="s">
        <v>86</v>
      </c>
      <c r="M1982" t="s">
        <v>21</v>
      </c>
    </row>
    <row r="1983" spans="1:13" x14ac:dyDescent="0.35">
      <c r="A1983" t="str">
        <f>"632-5105"</f>
        <v>632-5105</v>
      </c>
      <c r="B1983" t="s">
        <v>7322</v>
      </c>
      <c r="C1983" t="str">
        <f>"1186"</f>
        <v>1186</v>
      </c>
      <c r="E1983" t="s">
        <v>7323</v>
      </c>
      <c r="F1983" t="s">
        <v>24</v>
      </c>
      <c r="G1983" t="s">
        <v>7324</v>
      </c>
      <c r="H1983" t="s">
        <v>17</v>
      </c>
      <c r="I1983" t="s">
        <v>18</v>
      </c>
      <c r="J1983" t="str">
        <f>"4383088709"</f>
        <v>4383088709</v>
      </c>
      <c r="K1983" t="s">
        <v>7325</v>
      </c>
      <c r="L1983" t="s">
        <v>86</v>
      </c>
      <c r="M1983" t="s">
        <v>21</v>
      </c>
    </row>
    <row r="1984" spans="1:13" x14ac:dyDescent="0.35">
      <c r="A1984" t="str">
        <f>"632-5510"</f>
        <v>632-5510</v>
      </c>
      <c r="B1984" t="s">
        <v>7326</v>
      </c>
      <c r="C1984" t="str">
        <f>"4077"</f>
        <v>4077</v>
      </c>
      <c r="D1984" t="str">
        <f>"6"</f>
        <v>6</v>
      </c>
      <c r="E1984" t="s">
        <v>5478</v>
      </c>
      <c r="F1984" t="s">
        <v>24</v>
      </c>
      <c r="G1984" t="s">
        <v>7327</v>
      </c>
      <c r="H1984" t="s">
        <v>17</v>
      </c>
      <c r="I1984" t="s">
        <v>18</v>
      </c>
      <c r="J1984" t="str">
        <f>"5145743218"</f>
        <v>5145743218</v>
      </c>
      <c r="K1984" t="s">
        <v>7328</v>
      </c>
      <c r="L1984" t="s">
        <v>220</v>
      </c>
      <c r="M1984" t="s">
        <v>21</v>
      </c>
    </row>
    <row r="1985" spans="1:13" x14ac:dyDescent="0.35">
      <c r="A1985" t="str">
        <f>"632-6027"</f>
        <v>632-6027</v>
      </c>
      <c r="B1985" t="s">
        <v>7329</v>
      </c>
      <c r="C1985" t="str">
        <f>"6910"</f>
        <v>6910</v>
      </c>
      <c r="D1985" t="str">
        <f>"1"</f>
        <v>1</v>
      </c>
      <c r="E1985" t="s">
        <v>7330</v>
      </c>
      <c r="F1985" t="s">
        <v>40</v>
      </c>
      <c r="G1985" t="s">
        <v>7331</v>
      </c>
      <c r="H1985" t="s">
        <v>17</v>
      </c>
      <c r="I1985" t="s">
        <v>18</v>
      </c>
      <c r="J1985" t="str">
        <f>"5146014965"</f>
        <v>5146014965</v>
      </c>
      <c r="K1985" t="s">
        <v>7332</v>
      </c>
      <c r="L1985" t="s">
        <v>168</v>
      </c>
      <c r="M1985" t="s">
        <v>21</v>
      </c>
    </row>
    <row r="1986" spans="1:13" x14ac:dyDescent="0.35">
      <c r="A1986" t="str">
        <f>"163-2175"</f>
        <v>163-2175</v>
      </c>
      <c r="B1986" t="s">
        <v>7334</v>
      </c>
      <c r="C1986" t="str">
        <f>"5116"</f>
        <v>5116</v>
      </c>
      <c r="E1986" t="s">
        <v>946</v>
      </c>
      <c r="F1986" t="s">
        <v>24</v>
      </c>
      <c r="G1986" t="s">
        <v>7335</v>
      </c>
      <c r="H1986" t="s">
        <v>17</v>
      </c>
      <c r="I1986" t="s">
        <v>18</v>
      </c>
      <c r="J1986" t="str">
        <f>"5145776999"</f>
        <v>5145776999</v>
      </c>
      <c r="K1986" t="s">
        <v>7336</v>
      </c>
      <c r="L1986" t="s">
        <v>76</v>
      </c>
      <c r="M1986" t="s">
        <v>21</v>
      </c>
    </row>
    <row r="1987" spans="1:13" x14ac:dyDescent="0.35">
      <c r="A1987" t="str">
        <f>"633-2539"</f>
        <v>633-2539</v>
      </c>
      <c r="B1987" t="s">
        <v>7337</v>
      </c>
      <c r="C1987" t="str">
        <f>"1140"</f>
        <v>1140</v>
      </c>
      <c r="E1987" t="s">
        <v>7338</v>
      </c>
      <c r="F1987" t="s">
        <v>32</v>
      </c>
      <c r="G1987" t="s">
        <v>1889</v>
      </c>
      <c r="H1987" t="s">
        <v>17</v>
      </c>
      <c r="I1987" t="s">
        <v>18</v>
      </c>
      <c r="J1987" t="str">
        <f>"4383902724"</f>
        <v>4383902724</v>
      </c>
      <c r="K1987" t="s">
        <v>7339</v>
      </c>
      <c r="L1987" t="s">
        <v>86</v>
      </c>
      <c r="M1987" t="s">
        <v>21</v>
      </c>
    </row>
    <row r="1988" spans="1:13" x14ac:dyDescent="0.35">
      <c r="A1988" t="str">
        <f>"633-3029"</f>
        <v>633-3029</v>
      </c>
      <c r="B1988" t="s">
        <v>7340</v>
      </c>
      <c r="C1988" t="str">
        <f>"5915"</f>
        <v>5915</v>
      </c>
      <c r="E1988" t="s">
        <v>2698</v>
      </c>
      <c r="F1988" t="s">
        <v>24</v>
      </c>
      <c r="G1988" t="s">
        <v>7341</v>
      </c>
      <c r="H1988" t="s">
        <v>17</v>
      </c>
      <c r="I1988" t="s">
        <v>18</v>
      </c>
      <c r="J1988" t="str">
        <f>"4383890191"</f>
        <v>4383890191</v>
      </c>
      <c r="K1988" t="s">
        <v>7342</v>
      </c>
      <c r="L1988" t="s">
        <v>76</v>
      </c>
      <c r="M1988" t="s">
        <v>21</v>
      </c>
    </row>
    <row r="1989" spans="1:13" x14ac:dyDescent="0.35">
      <c r="A1989" t="str">
        <f>"633-3159"</f>
        <v>633-3159</v>
      </c>
      <c r="B1989" t="s">
        <v>7343</v>
      </c>
      <c r="C1989" t="str">
        <f>"441"</f>
        <v>441</v>
      </c>
      <c r="E1989" t="s">
        <v>2579</v>
      </c>
      <c r="F1989" t="s">
        <v>24</v>
      </c>
      <c r="G1989" t="s">
        <v>7344</v>
      </c>
      <c r="H1989" t="s">
        <v>17</v>
      </c>
      <c r="I1989" t="s">
        <v>18</v>
      </c>
      <c r="J1989" t="str">
        <f>"4189335906"</f>
        <v>4189335906</v>
      </c>
      <c r="K1989" t="s">
        <v>7345</v>
      </c>
      <c r="L1989" t="s">
        <v>20</v>
      </c>
      <c r="M1989" t="s">
        <v>21</v>
      </c>
    </row>
    <row r="1990" spans="1:13" x14ac:dyDescent="0.35">
      <c r="A1990" t="str">
        <f>"633-3544"</f>
        <v>633-3544</v>
      </c>
      <c r="B1990" t="s">
        <v>7346</v>
      </c>
      <c r="C1990" t="str">
        <f>"6980"</f>
        <v>6980</v>
      </c>
      <c r="E1990" t="s">
        <v>5681</v>
      </c>
      <c r="F1990" t="s">
        <v>24</v>
      </c>
      <c r="G1990" t="s">
        <v>7347</v>
      </c>
      <c r="H1990" t="s">
        <v>17</v>
      </c>
      <c r="I1990" t="s">
        <v>18</v>
      </c>
      <c r="J1990" t="str">
        <f>"5146068162"</f>
        <v>5146068162</v>
      </c>
      <c r="K1990" t="s">
        <v>7348</v>
      </c>
      <c r="L1990" t="s">
        <v>86</v>
      </c>
      <c r="M1990" t="s">
        <v>21</v>
      </c>
    </row>
    <row r="1991" spans="1:13" x14ac:dyDescent="0.35">
      <c r="A1991" t="str">
        <f>"953-7295"</f>
        <v>953-7295</v>
      </c>
      <c r="B1991" t="s">
        <v>7349</v>
      </c>
      <c r="C1991" t="str">
        <f>"2199"</f>
        <v>2199</v>
      </c>
      <c r="E1991" t="s">
        <v>7350</v>
      </c>
      <c r="F1991" t="s">
        <v>24</v>
      </c>
      <c r="G1991" t="s">
        <v>7351</v>
      </c>
      <c r="H1991" t="s">
        <v>17</v>
      </c>
      <c r="I1991" t="s">
        <v>18</v>
      </c>
      <c r="J1991" t="str">
        <f>"5148439013"</f>
        <v>5148439013</v>
      </c>
      <c r="K1991" t="s">
        <v>7352</v>
      </c>
      <c r="L1991" t="s">
        <v>29</v>
      </c>
      <c r="M1991" t="s">
        <v>21</v>
      </c>
    </row>
    <row r="1992" spans="1:13" x14ac:dyDescent="0.35">
      <c r="A1992" t="str">
        <f>"249-9075"</f>
        <v>249-9075</v>
      </c>
      <c r="B1992" t="s">
        <v>7353</v>
      </c>
      <c r="C1992" t="str">
        <f>"326"</f>
        <v>326</v>
      </c>
      <c r="E1992" t="s">
        <v>7354</v>
      </c>
      <c r="F1992" t="s">
        <v>143</v>
      </c>
      <c r="G1992" t="s">
        <v>7355</v>
      </c>
      <c r="H1992" t="s">
        <v>17</v>
      </c>
      <c r="I1992" t="s">
        <v>18</v>
      </c>
      <c r="J1992" t="str">
        <f>"5147953229"</f>
        <v>5147953229</v>
      </c>
      <c r="K1992" t="s">
        <v>7356</v>
      </c>
      <c r="L1992" t="s">
        <v>39</v>
      </c>
      <c r="M1992" t="s">
        <v>21</v>
      </c>
    </row>
    <row r="1993" spans="1:13" x14ac:dyDescent="0.35">
      <c r="A1993" t="str">
        <f>"249-9076"</f>
        <v>249-9076</v>
      </c>
      <c r="B1993" t="s">
        <v>7357</v>
      </c>
      <c r="C1993" t="str">
        <f>"7990"</f>
        <v>7990</v>
      </c>
      <c r="D1993" t="str">
        <f>"140"</f>
        <v>140</v>
      </c>
      <c r="E1993" t="s">
        <v>1030</v>
      </c>
      <c r="F1993" t="s">
        <v>24</v>
      </c>
      <c r="G1993" t="s">
        <v>7358</v>
      </c>
      <c r="H1993" t="s">
        <v>17</v>
      </c>
      <c r="I1993" t="s">
        <v>18</v>
      </c>
      <c r="J1993" t="str">
        <f>"4508463445"</f>
        <v>4508463445</v>
      </c>
      <c r="K1993" t="s">
        <v>7359</v>
      </c>
      <c r="L1993" t="s">
        <v>350</v>
      </c>
      <c r="M1993" t="s">
        <v>21</v>
      </c>
    </row>
    <row r="1994" spans="1:13" x14ac:dyDescent="0.35">
      <c r="A1994" t="str">
        <f>"964-2387"</f>
        <v>964-2387</v>
      </c>
      <c r="B1994" t="s">
        <v>7360</v>
      </c>
      <c r="C1994" t="str">
        <f>"4068"</f>
        <v>4068</v>
      </c>
      <c r="E1994" t="s">
        <v>7361</v>
      </c>
      <c r="F1994" t="s">
        <v>24</v>
      </c>
      <c r="G1994" t="s">
        <v>7362</v>
      </c>
      <c r="H1994" t="s">
        <v>17</v>
      </c>
      <c r="I1994" t="s">
        <v>18</v>
      </c>
      <c r="J1994" t="str">
        <f>"4389314753"</f>
        <v>4389314753</v>
      </c>
      <c r="K1994" t="s">
        <v>7363</v>
      </c>
      <c r="L1994" t="s">
        <v>132</v>
      </c>
      <c r="M1994" t="s">
        <v>21</v>
      </c>
    </row>
    <row r="1995" spans="1:13" x14ac:dyDescent="0.35">
      <c r="A1995" t="str">
        <f>"965-4863"</f>
        <v>965-4863</v>
      </c>
      <c r="B1995" t="s">
        <v>7364</v>
      </c>
      <c r="C1995" t="str">
        <f>"54"</f>
        <v>54</v>
      </c>
      <c r="E1995" t="s">
        <v>7365</v>
      </c>
      <c r="F1995" t="s">
        <v>5311</v>
      </c>
      <c r="G1995" t="s">
        <v>5312</v>
      </c>
      <c r="H1995" t="s">
        <v>17</v>
      </c>
      <c r="I1995" t="s">
        <v>18</v>
      </c>
      <c r="J1995" t="str">
        <f>"5144621840"</f>
        <v>5144621840</v>
      </c>
      <c r="K1995" t="s">
        <v>7366</v>
      </c>
      <c r="L1995" t="s">
        <v>319</v>
      </c>
      <c r="M1995" t="s">
        <v>21</v>
      </c>
    </row>
    <row r="1996" spans="1:13" x14ac:dyDescent="0.35">
      <c r="A1996" t="str">
        <f>"193-3115"</f>
        <v>193-3115</v>
      </c>
      <c r="B1996" t="s">
        <v>7367</v>
      </c>
      <c r="C1996" t="str">
        <f>"22"</f>
        <v>22</v>
      </c>
      <c r="D1996" t="str">
        <f>"1"</f>
        <v>1</v>
      </c>
      <c r="E1996" t="s">
        <v>7368</v>
      </c>
      <c r="F1996" t="s">
        <v>54</v>
      </c>
      <c r="G1996" t="s">
        <v>7369</v>
      </c>
      <c r="H1996" t="s">
        <v>17</v>
      </c>
      <c r="I1996" t="s">
        <v>18</v>
      </c>
      <c r="J1996" t="str">
        <f>"4388878009"</f>
        <v>4388878009</v>
      </c>
      <c r="K1996" t="s">
        <v>7370</v>
      </c>
      <c r="L1996" t="s">
        <v>350</v>
      </c>
      <c r="M1996" t="s">
        <v>21</v>
      </c>
    </row>
    <row r="1997" spans="1:13" x14ac:dyDescent="0.35">
      <c r="A1997" t="str">
        <f>"196-9497"</f>
        <v>196-9497</v>
      </c>
      <c r="B1997" t="s">
        <v>7371</v>
      </c>
      <c r="C1997" t="str">
        <f>"1410"</f>
        <v>1410</v>
      </c>
      <c r="D1997" t="str">
        <f>"10"</f>
        <v>10</v>
      </c>
      <c r="E1997" t="s">
        <v>1650</v>
      </c>
      <c r="F1997" t="s">
        <v>24</v>
      </c>
      <c r="G1997" t="s">
        <v>7372</v>
      </c>
      <c r="H1997" t="s">
        <v>17</v>
      </c>
      <c r="I1997" t="s">
        <v>18</v>
      </c>
      <c r="J1997" t="str">
        <f>"5145495205"</f>
        <v>5145495205</v>
      </c>
      <c r="K1997" t="s">
        <v>7373</v>
      </c>
      <c r="L1997" t="s">
        <v>86</v>
      </c>
      <c r="M1997" t="s">
        <v>21</v>
      </c>
    </row>
    <row r="1998" spans="1:13" x14ac:dyDescent="0.35">
      <c r="A1998" t="str">
        <f>"197-5226"</f>
        <v>197-5226</v>
      </c>
      <c r="B1998" t="s">
        <v>7374</v>
      </c>
      <c r="C1998" t="str">
        <f>"551D"</f>
        <v>551D</v>
      </c>
      <c r="E1998" t="s">
        <v>7375</v>
      </c>
      <c r="F1998" t="s">
        <v>7376</v>
      </c>
      <c r="G1998" t="s">
        <v>7377</v>
      </c>
      <c r="H1998" t="s">
        <v>17</v>
      </c>
      <c r="I1998" t="s">
        <v>18</v>
      </c>
      <c r="J1998" t="str">
        <f>"4186161254"</f>
        <v>4186161254</v>
      </c>
      <c r="K1998" t="s">
        <v>7378</v>
      </c>
      <c r="L1998" t="s">
        <v>27</v>
      </c>
      <c r="M1998" t="s">
        <v>21</v>
      </c>
    </row>
    <row r="1999" spans="1:13" x14ac:dyDescent="0.35">
      <c r="A1999" t="str">
        <f>"207-8745"</f>
        <v>207-8745</v>
      </c>
      <c r="B1999" t="s">
        <v>7379</v>
      </c>
      <c r="C1999" t="str">
        <f>"1970"</f>
        <v>1970</v>
      </c>
      <c r="E1999" t="s">
        <v>5518</v>
      </c>
      <c r="F1999" t="s">
        <v>24</v>
      </c>
      <c r="G1999" t="s">
        <v>7380</v>
      </c>
      <c r="H1999" t="s">
        <v>17</v>
      </c>
      <c r="I1999" t="s">
        <v>18</v>
      </c>
      <c r="J1999" t="str">
        <f>"5148141601"</f>
        <v>5148141601</v>
      </c>
      <c r="K1999" t="s">
        <v>7381</v>
      </c>
      <c r="L1999" t="s">
        <v>319</v>
      </c>
      <c r="M1999" t="s">
        <v>21</v>
      </c>
    </row>
    <row r="2000" spans="1:13" x14ac:dyDescent="0.35">
      <c r="A2000" t="str">
        <f>"631-3693"</f>
        <v>631-3693</v>
      </c>
      <c r="B2000" t="s">
        <v>7382</v>
      </c>
      <c r="C2000" t="str">
        <f>"4026"</f>
        <v>4026</v>
      </c>
      <c r="E2000" t="s">
        <v>1767</v>
      </c>
      <c r="F2000" t="s">
        <v>24</v>
      </c>
      <c r="G2000" t="s">
        <v>7383</v>
      </c>
      <c r="H2000" t="s">
        <v>17</v>
      </c>
      <c r="I2000" t="s">
        <v>18</v>
      </c>
      <c r="J2000" t="str">
        <f>"4388164690"</f>
        <v>4388164690</v>
      </c>
      <c r="K2000" t="s">
        <v>7384</v>
      </c>
      <c r="L2000" t="s">
        <v>86</v>
      </c>
      <c r="M2000" t="s">
        <v>21</v>
      </c>
    </row>
    <row r="2001" spans="1:13" x14ac:dyDescent="0.35">
      <c r="A2001" t="str">
        <f>"631-4357"</f>
        <v>631-4357</v>
      </c>
      <c r="B2001" t="s">
        <v>7385</v>
      </c>
      <c r="C2001" t="str">
        <f>"2680"</f>
        <v>2680</v>
      </c>
      <c r="E2001" t="s">
        <v>3474</v>
      </c>
      <c r="F2001" t="s">
        <v>24</v>
      </c>
      <c r="G2001" t="s">
        <v>7386</v>
      </c>
      <c r="H2001" t="s">
        <v>17</v>
      </c>
      <c r="I2001" t="s">
        <v>18</v>
      </c>
      <c r="J2001" t="str">
        <f>"5145438154"</f>
        <v>5145438154</v>
      </c>
      <c r="K2001" t="s">
        <v>7387</v>
      </c>
      <c r="L2001" t="s">
        <v>383</v>
      </c>
      <c r="M2001" t="s">
        <v>21</v>
      </c>
    </row>
    <row r="2002" spans="1:13" x14ac:dyDescent="0.35">
      <c r="A2002" t="str">
        <f>"631-4457"</f>
        <v>631-4457</v>
      </c>
      <c r="B2002" t="s">
        <v>7388</v>
      </c>
      <c r="C2002" t="str">
        <f>"5847"</f>
        <v>5847</v>
      </c>
      <c r="E2002" t="s">
        <v>7389</v>
      </c>
      <c r="F2002" t="s">
        <v>24</v>
      </c>
      <c r="G2002" t="s">
        <v>7390</v>
      </c>
      <c r="H2002" t="s">
        <v>17</v>
      </c>
      <c r="I2002" t="s">
        <v>18</v>
      </c>
      <c r="J2002" t="str">
        <f>"5145705731"</f>
        <v>5145705731</v>
      </c>
      <c r="K2002" t="s">
        <v>7391</v>
      </c>
      <c r="L2002" t="s">
        <v>466</v>
      </c>
      <c r="M2002" t="s">
        <v>21</v>
      </c>
    </row>
    <row r="2003" spans="1:13" x14ac:dyDescent="0.35">
      <c r="A2003" t="str">
        <f>"631-4507"</f>
        <v>631-4507</v>
      </c>
      <c r="B2003" t="s">
        <v>7392</v>
      </c>
      <c r="C2003" t="str">
        <f>"795"</f>
        <v>795</v>
      </c>
      <c r="D2003" t="str">
        <f>"7"</f>
        <v>7</v>
      </c>
      <c r="E2003" t="s">
        <v>5338</v>
      </c>
      <c r="F2003" t="s">
        <v>24</v>
      </c>
      <c r="G2003" t="s">
        <v>7393</v>
      </c>
      <c r="H2003" t="s">
        <v>17</v>
      </c>
      <c r="I2003" t="s">
        <v>18</v>
      </c>
      <c r="J2003" t="str">
        <f>"4389895772"</f>
        <v>4389895772</v>
      </c>
      <c r="K2003" t="s">
        <v>7394</v>
      </c>
      <c r="L2003" t="s">
        <v>869</v>
      </c>
      <c r="M2003" t="s">
        <v>21</v>
      </c>
    </row>
    <row r="2004" spans="1:13" x14ac:dyDescent="0.35">
      <c r="A2004" t="str">
        <f>"021-5981"</f>
        <v>021-5981</v>
      </c>
      <c r="B2004" t="s">
        <v>7395</v>
      </c>
      <c r="C2004" t="str">
        <f>"315"</f>
        <v>315</v>
      </c>
      <c r="E2004" t="s">
        <v>7396</v>
      </c>
      <c r="F2004" t="s">
        <v>1175</v>
      </c>
      <c r="G2004" t="s">
        <v>7397</v>
      </c>
      <c r="H2004" t="s">
        <v>17</v>
      </c>
      <c r="I2004" t="s">
        <v>18</v>
      </c>
      <c r="J2004" t="str">
        <f>"4388238627"</f>
        <v>4388238627</v>
      </c>
      <c r="K2004" t="s">
        <v>7398</v>
      </c>
      <c r="L2004" t="s">
        <v>20</v>
      </c>
      <c r="M2004" t="s">
        <v>21</v>
      </c>
    </row>
    <row r="2005" spans="1:13" x14ac:dyDescent="0.35">
      <c r="A2005" t="str">
        <f>"043-2645"</f>
        <v>043-2645</v>
      </c>
      <c r="B2005" t="s">
        <v>7399</v>
      </c>
      <c r="C2005" t="str">
        <f>"5076"</f>
        <v>5076</v>
      </c>
      <c r="E2005" t="s">
        <v>7400</v>
      </c>
      <c r="F2005" t="s">
        <v>24</v>
      </c>
      <c r="G2005" t="s">
        <v>7401</v>
      </c>
      <c r="H2005" t="s">
        <v>17</v>
      </c>
      <c r="I2005" t="s">
        <v>18</v>
      </c>
      <c r="J2005" t="str">
        <f>"4388690488"</f>
        <v>4388690488</v>
      </c>
      <c r="K2005" t="s">
        <v>7402</v>
      </c>
      <c r="L2005" t="s">
        <v>20</v>
      </c>
      <c r="M2005" t="s">
        <v>21</v>
      </c>
    </row>
    <row r="2006" spans="1:13" x14ac:dyDescent="0.35">
      <c r="A2006" t="str">
        <f>"038-2622"</f>
        <v>038-2622</v>
      </c>
      <c r="B2006" t="s">
        <v>7403</v>
      </c>
      <c r="C2006" t="str">
        <f>"5746"</f>
        <v>5746</v>
      </c>
      <c r="E2006" t="s">
        <v>7404</v>
      </c>
      <c r="F2006" t="s">
        <v>256</v>
      </c>
      <c r="G2006" t="s">
        <v>7405</v>
      </c>
      <c r="H2006" t="s">
        <v>17</v>
      </c>
      <c r="I2006" t="s">
        <v>18</v>
      </c>
      <c r="J2006" t="str">
        <f>"5147955476"</f>
        <v>5147955476</v>
      </c>
      <c r="K2006" t="s">
        <v>7406</v>
      </c>
      <c r="L2006" t="s">
        <v>20</v>
      </c>
      <c r="M2006" t="s">
        <v>21</v>
      </c>
    </row>
    <row r="2007" spans="1:13" x14ac:dyDescent="0.35">
      <c r="A2007" t="str">
        <f>"073-0996"</f>
        <v>073-0996</v>
      </c>
      <c r="B2007" t="s">
        <v>7407</v>
      </c>
      <c r="C2007" t="str">
        <f>"21"</f>
        <v>21</v>
      </c>
      <c r="E2007" t="s">
        <v>7408</v>
      </c>
      <c r="F2007" t="s">
        <v>1022</v>
      </c>
      <c r="G2007" t="s">
        <v>7409</v>
      </c>
      <c r="H2007" t="s">
        <v>17</v>
      </c>
      <c r="I2007" t="s">
        <v>18</v>
      </c>
      <c r="J2007" t="str">
        <f>"5144738008"</f>
        <v>5144738008</v>
      </c>
      <c r="K2007" t="s">
        <v>7410</v>
      </c>
      <c r="L2007" t="s">
        <v>20</v>
      </c>
      <c r="M2007" t="s">
        <v>21</v>
      </c>
    </row>
    <row r="2008" spans="1:13" x14ac:dyDescent="0.35">
      <c r="A2008" t="str">
        <f>"073-2209"</f>
        <v>073-2209</v>
      </c>
      <c r="B2008" t="s">
        <v>7411</v>
      </c>
      <c r="C2008" t="str">
        <f>"7771"</f>
        <v>7771</v>
      </c>
      <c r="D2008" t="str">
        <f>"6"</f>
        <v>6</v>
      </c>
      <c r="E2008" t="s">
        <v>6526</v>
      </c>
      <c r="F2008" t="s">
        <v>24</v>
      </c>
      <c r="G2008" t="s">
        <v>7412</v>
      </c>
      <c r="H2008" t="s">
        <v>17</v>
      </c>
      <c r="I2008" t="s">
        <v>18</v>
      </c>
      <c r="J2008" t="str">
        <f>"5145884530"</f>
        <v>5145884530</v>
      </c>
      <c r="K2008" t="s">
        <v>7413</v>
      </c>
      <c r="L2008" t="s">
        <v>27</v>
      </c>
      <c r="M2008" t="s">
        <v>21</v>
      </c>
    </row>
    <row r="2009" spans="1:13" x14ac:dyDescent="0.35">
      <c r="A2009" t="str">
        <f>"075-5723"</f>
        <v>075-5723</v>
      </c>
      <c r="B2009" t="s">
        <v>7414</v>
      </c>
      <c r="C2009" t="str">
        <f>"6793"</f>
        <v>6793</v>
      </c>
      <c r="E2009" t="s">
        <v>7415</v>
      </c>
      <c r="F2009" t="s">
        <v>24</v>
      </c>
      <c r="G2009" t="s">
        <v>7416</v>
      </c>
      <c r="H2009" t="s">
        <v>17</v>
      </c>
      <c r="I2009" t="s">
        <v>18</v>
      </c>
      <c r="J2009" t="str">
        <f>"4383927145"</f>
        <v>4383927145</v>
      </c>
      <c r="K2009" t="s">
        <v>7417</v>
      </c>
      <c r="L2009" t="s">
        <v>86</v>
      </c>
      <c r="M2009" t="s">
        <v>21</v>
      </c>
    </row>
    <row r="2010" spans="1:13" x14ac:dyDescent="0.35">
      <c r="A2010" t="str">
        <f>"143-1482"</f>
        <v>143-1482</v>
      </c>
      <c r="B2010" t="s">
        <v>7418</v>
      </c>
      <c r="C2010" t="str">
        <f>"6250"</f>
        <v>6250</v>
      </c>
      <c r="D2010" t="str">
        <f>"4"</f>
        <v>4</v>
      </c>
      <c r="E2010" t="s">
        <v>830</v>
      </c>
      <c r="F2010" t="s">
        <v>24</v>
      </c>
      <c r="G2010" t="s">
        <v>7419</v>
      </c>
      <c r="H2010" t="s">
        <v>17</v>
      </c>
      <c r="I2010" t="s">
        <v>18</v>
      </c>
      <c r="J2010" t="str">
        <f>"5149736814"</f>
        <v>5149736814</v>
      </c>
      <c r="K2010" t="s">
        <v>7420</v>
      </c>
      <c r="L2010" t="s">
        <v>350</v>
      </c>
      <c r="M2010" t="s">
        <v>21</v>
      </c>
    </row>
    <row r="2011" spans="1:13" x14ac:dyDescent="0.35">
      <c r="A2011" t="str">
        <f>"145-0412"</f>
        <v>145-0412</v>
      </c>
      <c r="B2011" t="s">
        <v>7421</v>
      </c>
      <c r="C2011" t="str">
        <f>"64"</f>
        <v>64</v>
      </c>
      <c r="E2011" t="s">
        <v>7422</v>
      </c>
      <c r="F2011" t="s">
        <v>1022</v>
      </c>
      <c r="G2011" t="s">
        <v>7423</v>
      </c>
      <c r="H2011" t="s">
        <v>17</v>
      </c>
      <c r="I2011" t="s">
        <v>18</v>
      </c>
      <c r="J2011" t="str">
        <f>"5147094616"</f>
        <v>5147094616</v>
      </c>
      <c r="K2011" t="s">
        <v>7424</v>
      </c>
      <c r="L2011" t="s">
        <v>27</v>
      </c>
      <c r="M2011" t="s">
        <v>21</v>
      </c>
    </row>
    <row r="2012" spans="1:13" x14ac:dyDescent="0.35">
      <c r="A2012" t="str">
        <f>"146-0914"</f>
        <v>146-0914</v>
      </c>
      <c r="B2012" t="s">
        <v>7425</v>
      </c>
      <c r="C2012" t="str">
        <f>"6578"</f>
        <v>6578</v>
      </c>
      <c r="E2012" t="s">
        <v>28</v>
      </c>
      <c r="F2012" t="s">
        <v>24</v>
      </c>
      <c r="G2012" t="s">
        <v>7426</v>
      </c>
      <c r="H2012" t="s">
        <v>17</v>
      </c>
      <c r="I2012" t="s">
        <v>18</v>
      </c>
      <c r="J2012" t="str">
        <f>"5147124491"</f>
        <v>5147124491</v>
      </c>
      <c r="K2012" t="s">
        <v>7427</v>
      </c>
      <c r="L2012" t="s">
        <v>20</v>
      </c>
      <c r="M2012" t="s">
        <v>21</v>
      </c>
    </row>
    <row r="2013" spans="1:13" x14ac:dyDescent="0.35">
      <c r="A2013" t="str">
        <f>"632-7440"</f>
        <v>632-7440</v>
      </c>
      <c r="B2013" t="s">
        <v>7428</v>
      </c>
      <c r="C2013" t="str">
        <f>"4370"</f>
        <v>4370</v>
      </c>
      <c r="E2013" t="s">
        <v>7429</v>
      </c>
      <c r="F2013" t="s">
        <v>24</v>
      </c>
      <c r="G2013" t="s">
        <v>7430</v>
      </c>
      <c r="H2013" t="s">
        <v>17</v>
      </c>
      <c r="I2013" t="s">
        <v>18</v>
      </c>
      <c r="J2013" t="str">
        <f>"5794210418"</f>
        <v>5794210418</v>
      </c>
      <c r="K2013" t="s">
        <v>7431</v>
      </c>
      <c r="L2013" t="s">
        <v>220</v>
      </c>
      <c r="M2013" t="s">
        <v>21</v>
      </c>
    </row>
    <row r="2014" spans="1:13" x14ac:dyDescent="0.35">
      <c r="A2014" t="str">
        <f>"632-7809"</f>
        <v>632-7809</v>
      </c>
      <c r="B2014" t="s">
        <v>7432</v>
      </c>
      <c r="C2014" t="str">
        <f>"7051"</f>
        <v>7051</v>
      </c>
      <c r="E2014" t="s">
        <v>406</v>
      </c>
      <c r="F2014" t="s">
        <v>24</v>
      </c>
      <c r="G2014" t="s">
        <v>1808</v>
      </c>
      <c r="H2014" t="s">
        <v>17</v>
      </c>
      <c r="I2014" t="s">
        <v>18</v>
      </c>
      <c r="J2014" t="str">
        <f>"5144663826"</f>
        <v>5144663826</v>
      </c>
      <c r="K2014" t="s">
        <v>7433</v>
      </c>
      <c r="L2014" t="s">
        <v>869</v>
      </c>
      <c r="M2014" t="s">
        <v>21</v>
      </c>
    </row>
    <row r="2015" spans="1:13" x14ac:dyDescent="0.35">
      <c r="A2015" t="str">
        <f>"632-8514"</f>
        <v>632-8514</v>
      </c>
      <c r="B2015" t="s">
        <v>7434</v>
      </c>
      <c r="C2015" t="str">
        <f>"7800"</f>
        <v>7800</v>
      </c>
      <c r="E2015" t="s">
        <v>7435</v>
      </c>
      <c r="F2015" t="s">
        <v>24</v>
      </c>
      <c r="G2015" t="s">
        <v>7436</v>
      </c>
      <c r="H2015" t="s">
        <v>17</v>
      </c>
      <c r="I2015" t="s">
        <v>18</v>
      </c>
      <c r="J2015" t="str">
        <f>"5146191919"</f>
        <v>5146191919</v>
      </c>
      <c r="K2015" t="s">
        <v>7437</v>
      </c>
      <c r="L2015" t="s">
        <v>86</v>
      </c>
      <c r="M2015" t="s">
        <v>21</v>
      </c>
    </row>
    <row r="2016" spans="1:13" x14ac:dyDescent="0.35">
      <c r="A2016" t="str">
        <f>"174-1832"</f>
        <v>174-1832</v>
      </c>
      <c r="B2016" t="s">
        <v>7438</v>
      </c>
      <c r="C2016" t="str">
        <f>"4856"</f>
        <v>4856</v>
      </c>
      <c r="D2016" t="str">
        <f>"5"</f>
        <v>5</v>
      </c>
      <c r="E2016" t="s">
        <v>3259</v>
      </c>
      <c r="F2016" t="s">
        <v>24</v>
      </c>
      <c r="G2016" t="s">
        <v>3260</v>
      </c>
      <c r="H2016" t="s">
        <v>17</v>
      </c>
      <c r="I2016" t="s">
        <v>18</v>
      </c>
      <c r="J2016" t="str">
        <f>"4385091037"</f>
        <v>4385091037</v>
      </c>
      <c r="K2016" t="s">
        <v>7439</v>
      </c>
      <c r="L2016" t="s">
        <v>220</v>
      </c>
      <c r="M2016" t="s">
        <v>21</v>
      </c>
    </row>
    <row r="2017" spans="1:13" x14ac:dyDescent="0.35">
      <c r="A2017" t="str">
        <f>"175-2672"</f>
        <v>175-2672</v>
      </c>
      <c r="B2017" t="s">
        <v>7440</v>
      </c>
      <c r="C2017" t="str">
        <f>"3773"</f>
        <v>3773</v>
      </c>
      <c r="E2017" t="s">
        <v>4341</v>
      </c>
      <c r="F2017" t="s">
        <v>24</v>
      </c>
      <c r="G2017" t="s">
        <v>7441</v>
      </c>
      <c r="H2017" t="s">
        <v>17</v>
      </c>
      <c r="I2017" t="s">
        <v>18</v>
      </c>
      <c r="J2017" t="str">
        <f>"4383899253"</f>
        <v>4383899253</v>
      </c>
      <c r="K2017" t="s">
        <v>7442</v>
      </c>
      <c r="L2017" t="s">
        <v>207</v>
      </c>
      <c r="M2017" t="s">
        <v>21</v>
      </c>
    </row>
    <row r="2018" spans="1:13" x14ac:dyDescent="0.35">
      <c r="A2018" t="str">
        <f>"203-6776"</f>
        <v>203-6776</v>
      </c>
      <c r="B2018" t="s">
        <v>7443</v>
      </c>
      <c r="C2018" t="str">
        <f>"2122"</f>
        <v>2122</v>
      </c>
      <c r="D2018" t="str">
        <f>"2122"</f>
        <v>2122</v>
      </c>
      <c r="E2018" t="s">
        <v>3982</v>
      </c>
      <c r="F2018" t="s">
        <v>2850</v>
      </c>
      <c r="G2018" t="s">
        <v>7444</v>
      </c>
      <c r="H2018" t="s">
        <v>17</v>
      </c>
      <c r="I2018" t="s">
        <v>18</v>
      </c>
      <c r="J2018" t="str">
        <f>"4505614413"</f>
        <v>4505614413</v>
      </c>
      <c r="K2018" t="s">
        <v>7445</v>
      </c>
      <c r="L2018" t="s">
        <v>313</v>
      </c>
      <c r="M2018" t="s">
        <v>21</v>
      </c>
    </row>
    <row r="2019" spans="1:13" x14ac:dyDescent="0.35">
      <c r="A2019" t="str">
        <f>"203-8305"</f>
        <v>203-8305</v>
      </c>
      <c r="B2019" t="s">
        <v>7446</v>
      </c>
      <c r="C2019" t="str">
        <f>"886"</f>
        <v>886</v>
      </c>
      <c r="E2019" t="s">
        <v>7447</v>
      </c>
      <c r="F2019" t="s">
        <v>7448</v>
      </c>
      <c r="G2019" t="s">
        <v>7449</v>
      </c>
      <c r="H2019" t="s">
        <v>17</v>
      </c>
      <c r="I2019" t="s">
        <v>18</v>
      </c>
      <c r="J2019" t="str">
        <f>"4389280123"</f>
        <v>4389280123</v>
      </c>
      <c r="K2019" t="s">
        <v>7450</v>
      </c>
      <c r="L2019" t="s">
        <v>350</v>
      </c>
      <c r="M2019" t="s">
        <v>21</v>
      </c>
    </row>
    <row r="2020" spans="1:13" x14ac:dyDescent="0.35">
      <c r="A2020" t="str">
        <f>"206-3931"</f>
        <v>206-3931</v>
      </c>
      <c r="B2020" t="s">
        <v>7451</v>
      </c>
      <c r="C2020" t="str">
        <f>"4197"</f>
        <v>4197</v>
      </c>
      <c r="E2020" t="s">
        <v>2940</v>
      </c>
      <c r="F2020" t="s">
        <v>24</v>
      </c>
      <c r="G2020" t="s">
        <v>7452</v>
      </c>
      <c r="H2020" t="s">
        <v>17</v>
      </c>
      <c r="I2020" t="s">
        <v>18</v>
      </c>
      <c r="J2020" t="str">
        <f>"4382262223"</f>
        <v>4382262223</v>
      </c>
      <c r="K2020" t="s">
        <v>7453</v>
      </c>
      <c r="L2020" t="s">
        <v>193</v>
      </c>
      <c r="M2020" t="s">
        <v>21</v>
      </c>
    </row>
    <row r="2021" spans="1:13" x14ac:dyDescent="0.35">
      <c r="A2021" t="str">
        <f>"631-8437"</f>
        <v>631-8437</v>
      </c>
      <c r="B2021" t="s">
        <v>7456</v>
      </c>
      <c r="C2021" t="str">
        <f>"2376"</f>
        <v>2376</v>
      </c>
      <c r="E2021" t="s">
        <v>7457</v>
      </c>
      <c r="F2021" t="s">
        <v>24</v>
      </c>
      <c r="G2021" t="s">
        <v>7458</v>
      </c>
      <c r="H2021" t="s">
        <v>17</v>
      </c>
      <c r="I2021" t="s">
        <v>18</v>
      </c>
      <c r="J2021" t="str">
        <f>"5142902625"</f>
        <v>5142902625</v>
      </c>
      <c r="K2021" t="s">
        <v>7459</v>
      </c>
      <c r="L2021" t="s">
        <v>76</v>
      </c>
      <c r="M2021" t="s">
        <v>21</v>
      </c>
    </row>
    <row r="2022" spans="1:13" x14ac:dyDescent="0.35">
      <c r="A2022" t="str">
        <f>"632-0985"</f>
        <v>632-0985</v>
      </c>
      <c r="B2022" t="s">
        <v>7460</v>
      </c>
      <c r="C2022" t="str">
        <f>"6592"</f>
        <v>6592</v>
      </c>
      <c r="E2022" t="s">
        <v>3373</v>
      </c>
      <c r="F2022" t="s">
        <v>24</v>
      </c>
      <c r="G2022" t="s">
        <v>7000</v>
      </c>
      <c r="H2022" t="s">
        <v>17</v>
      </c>
      <c r="I2022" t="s">
        <v>18</v>
      </c>
      <c r="J2022" t="str">
        <f>"5149747284"</f>
        <v>5149747284</v>
      </c>
      <c r="K2022" t="s">
        <v>7461</v>
      </c>
      <c r="L2022" t="s">
        <v>86</v>
      </c>
      <c r="M2022" t="s">
        <v>21</v>
      </c>
    </row>
    <row r="2023" spans="1:13" x14ac:dyDescent="0.35">
      <c r="A2023" t="str">
        <f>"632-2573"</f>
        <v>632-2573</v>
      </c>
      <c r="B2023" t="s">
        <v>7462</v>
      </c>
      <c r="C2023" t="str">
        <f>"5060"</f>
        <v>5060</v>
      </c>
      <c r="D2023" t="str">
        <f>"5"</f>
        <v>5</v>
      </c>
      <c r="E2023" t="s">
        <v>78</v>
      </c>
      <c r="F2023" t="s">
        <v>24</v>
      </c>
      <c r="G2023" t="s">
        <v>79</v>
      </c>
      <c r="H2023" t="s">
        <v>17</v>
      </c>
      <c r="I2023" t="s">
        <v>18</v>
      </c>
      <c r="J2023" t="str">
        <f>"4389207142"</f>
        <v>4389207142</v>
      </c>
      <c r="K2023" t="s">
        <v>7463</v>
      </c>
      <c r="L2023" t="s">
        <v>466</v>
      </c>
      <c r="M2023" t="s">
        <v>21</v>
      </c>
    </row>
    <row r="2024" spans="1:13" x14ac:dyDescent="0.35">
      <c r="A2024" t="str">
        <f>"238-7372"</f>
        <v>238-7372</v>
      </c>
      <c r="B2024" t="s">
        <v>7464</v>
      </c>
      <c r="C2024" t="str">
        <f>"6325"</f>
        <v>6325</v>
      </c>
      <c r="E2024" t="s">
        <v>4820</v>
      </c>
      <c r="F2024" t="s">
        <v>24</v>
      </c>
      <c r="G2024" t="s">
        <v>7465</v>
      </c>
      <c r="H2024" t="s">
        <v>17</v>
      </c>
      <c r="I2024" t="s">
        <v>18</v>
      </c>
      <c r="J2024" t="str">
        <f>"4388661427"</f>
        <v>4388661427</v>
      </c>
      <c r="K2024" t="s">
        <v>7466</v>
      </c>
      <c r="L2024" t="s">
        <v>86</v>
      </c>
      <c r="M2024" t="s">
        <v>21</v>
      </c>
    </row>
    <row r="2025" spans="1:13" x14ac:dyDescent="0.35">
      <c r="A2025" t="str">
        <f>"247-5406"</f>
        <v>247-5406</v>
      </c>
      <c r="B2025" t="s">
        <v>7467</v>
      </c>
      <c r="C2025" t="str">
        <f>"9920"</f>
        <v>9920</v>
      </c>
      <c r="E2025" t="s">
        <v>7468</v>
      </c>
      <c r="F2025" t="s">
        <v>4314</v>
      </c>
      <c r="G2025" t="s">
        <v>7469</v>
      </c>
      <c r="H2025" t="s">
        <v>17</v>
      </c>
      <c r="I2025" t="s">
        <v>18</v>
      </c>
      <c r="J2025" t="str">
        <f>"8199967979"</f>
        <v>8199967979</v>
      </c>
      <c r="K2025" t="s">
        <v>7470</v>
      </c>
      <c r="L2025" t="s">
        <v>466</v>
      </c>
      <c r="M2025" t="s">
        <v>21</v>
      </c>
    </row>
    <row r="2026" spans="1:13" x14ac:dyDescent="0.35">
      <c r="A2026" t="str">
        <f>"247-6083"</f>
        <v>247-6083</v>
      </c>
      <c r="B2026" t="s">
        <v>7471</v>
      </c>
      <c r="C2026" t="str">
        <f>"2605"</f>
        <v>2605</v>
      </c>
      <c r="E2026" t="s">
        <v>7472</v>
      </c>
      <c r="F2026" t="s">
        <v>54</v>
      </c>
      <c r="G2026" t="s">
        <v>7473</v>
      </c>
      <c r="H2026" t="s">
        <v>17</v>
      </c>
      <c r="I2026" t="s">
        <v>18</v>
      </c>
      <c r="J2026" t="str">
        <f>"4388609075"</f>
        <v>4388609075</v>
      </c>
      <c r="K2026" t="s">
        <v>7474</v>
      </c>
      <c r="L2026" t="s">
        <v>137</v>
      </c>
      <c r="M2026" t="s">
        <v>21</v>
      </c>
    </row>
    <row r="2027" spans="1:13" x14ac:dyDescent="0.35">
      <c r="A2027" t="str">
        <f>"247-6139"</f>
        <v>247-6139</v>
      </c>
      <c r="B2027" t="s">
        <v>7475</v>
      </c>
      <c r="C2027" t="str">
        <f>"1456"</f>
        <v>1456</v>
      </c>
      <c r="E2027" t="s">
        <v>7476</v>
      </c>
      <c r="F2027" t="s">
        <v>2149</v>
      </c>
      <c r="G2027" t="s">
        <v>7477</v>
      </c>
      <c r="H2027" t="s">
        <v>17</v>
      </c>
      <c r="I2027" t="s">
        <v>18</v>
      </c>
      <c r="J2027" t="str">
        <f>"4507154379"</f>
        <v>4507154379</v>
      </c>
      <c r="K2027" t="s">
        <v>7478</v>
      </c>
      <c r="L2027" t="s">
        <v>313</v>
      </c>
      <c r="M2027" t="s">
        <v>21</v>
      </c>
    </row>
    <row r="2028" spans="1:13" x14ac:dyDescent="0.35">
      <c r="A2028" t="str">
        <f>"247-6574"</f>
        <v>247-6574</v>
      </c>
      <c r="B2028" t="s">
        <v>7479</v>
      </c>
      <c r="C2028" t="str">
        <f>"8180"</f>
        <v>8180</v>
      </c>
      <c r="D2028" t="str">
        <f>"2"</f>
        <v>2</v>
      </c>
      <c r="E2028" t="s">
        <v>1549</v>
      </c>
      <c r="F2028" t="s">
        <v>24</v>
      </c>
      <c r="G2028" t="s">
        <v>5892</v>
      </c>
      <c r="H2028" t="s">
        <v>17</v>
      </c>
      <c r="I2028" t="s">
        <v>18</v>
      </c>
      <c r="J2028" t="str">
        <f>"5146238335"</f>
        <v>5146238335</v>
      </c>
      <c r="K2028" t="s">
        <v>7480</v>
      </c>
      <c r="L2028" t="s">
        <v>86</v>
      </c>
      <c r="M2028" t="s">
        <v>21</v>
      </c>
    </row>
    <row r="2029" spans="1:13" x14ac:dyDescent="0.35">
      <c r="A2029" t="str">
        <f>"247-6575"</f>
        <v>247-6575</v>
      </c>
      <c r="B2029" t="s">
        <v>7481</v>
      </c>
      <c r="C2029" t="str">
        <f>"1519"</f>
        <v>1519</v>
      </c>
      <c r="E2029" t="s">
        <v>3351</v>
      </c>
      <c r="F2029" t="s">
        <v>24</v>
      </c>
      <c r="G2029" t="s">
        <v>7482</v>
      </c>
      <c r="H2029" t="s">
        <v>17</v>
      </c>
      <c r="I2029" t="s">
        <v>18</v>
      </c>
      <c r="J2029" t="str">
        <f>"5146511519"</f>
        <v>5146511519</v>
      </c>
      <c r="K2029" t="s">
        <v>7483</v>
      </c>
      <c r="L2029" t="s">
        <v>350</v>
      </c>
      <c r="M2029" t="s">
        <v>21</v>
      </c>
    </row>
    <row r="2030" spans="1:13" x14ac:dyDescent="0.35">
      <c r="A2030" t="str">
        <f>"247-6830"</f>
        <v>247-6830</v>
      </c>
      <c r="B2030" t="s">
        <v>7484</v>
      </c>
      <c r="C2030" t="str">
        <f>"6285"</f>
        <v>6285</v>
      </c>
      <c r="D2030" t="str">
        <f>"3"</f>
        <v>3</v>
      </c>
      <c r="E2030" t="s">
        <v>5507</v>
      </c>
      <c r="F2030" t="s">
        <v>24</v>
      </c>
      <c r="G2030" t="s">
        <v>7485</v>
      </c>
      <c r="H2030" t="s">
        <v>17</v>
      </c>
      <c r="I2030" t="s">
        <v>18</v>
      </c>
      <c r="J2030" t="str">
        <f>"4384583037"</f>
        <v>4384583037</v>
      </c>
      <c r="K2030" t="s">
        <v>7486</v>
      </c>
      <c r="L2030" t="s">
        <v>27</v>
      </c>
      <c r="M2030" t="s">
        <v>21</v>
      </c>
    </row>
    <row r="2031" spans="1:13" x14ac:dyDescent="0.35">
      <c r="A2031" t="str">
        <f>"249-1367"</f>
        <v>249-1367</v>
      </c>
      <c r="B2031" t="s">
        <v>7487</v>
      </c>
      <c r="C2031" t="str">
        <f>"4985"</f>
        <v>4985</v>
      </c>
      <c r="E2031" t="s">
        <v>7400</v>
      </c>
      <c r="F2031" t="s">
        <v>24</v>
      </c>
      <c r="G2031" t="s">
        <v>7488</v>
      </c>
      <c r="H2031" t="s">
        <v>17</v>
      </c>
      <c r="I2031" t="s">
        <v>18</v>
      </c>
      <c r="J2031" t="str">
        <f>"4503311531"</f>
        <v>4503311531</v>
      </c>
      <c r="K2031" t="s">
        <v>7489</v>
      </c>
      <c r="L2031" t="s">
        <v>305</v>
      </c>
      <c r="M2031" t="s">
        <v>21</v>
      </c>
    </row>
    <row r="2032" spans="1:13" x14ac:dyDescent="0.35">
      <c r="A2032" t="str">
        <f>"249-1346"</f>
        <v>249-1346</v>
      </c>
      <c r="B2032" t="s">
        <v>7490</v>
      </c>
      <c r="C2032" t="str">
        <f>"10531"</f>
        <v>10531</v>
      </c>
      <c r="E2032" t="s">
        <v>7491</v>
      </c>
      <c r="F2032" t="s">
        <v>24</v>
      </c>
      <c r="G2032" t="s">
        <v>7492</v>
      </c>
      <c r="H2032" t="s">
        <v>17</v>
      </c>
      <c r="I2032" t="s">
        <v>18</v>
      </c>
      <c r="J2032" t="str">
        <f>"5146210838"</f>
        <v>5146210838</v>
      </c>
      <c r="K2032" t="s">
        <v>7493</v>
      </c>
      <c r="L2032" t="s">
        <v>39</v>
      </c>
      <c r="M2032" t="s">
        <v>21</v>
      </c>
    </row>
    <row r="2033" spans="1:13" x14ac:dyDescent="0.35">
      <c r="A2033" t="str">
        <f>"249-1942"</f>
        <v>249-1942</v>
      </c>
      <c r="B2033" t="s">
        <v>7494</v>
      </c>
      <c r="C2033" t="str">
        <f>"9055"</f>
        <v>9055</v>
      </c>
      <c r="D2033" t="str">
        <f>"6"</f>
        <v>6</v>
      </c>
      <c r="E2033" t="s">
        <v>597</v>
      </c>
      <c r="F2033" t="s">
        <v>24</v>
      </c>
      <c r="G2033" t="s">
        <v>7495</v>
      </c>
      <c r="H2033" t="s">
        <v>17</v>
      </c>
      <c r="I2033" t="s">
        <v>18</v>
      </c>
      <c r="J2033" t="str">
        <f>"4388612208"</f>
        <v>4388612208</v>
      </c>
      <c r="K2033" t="s">
        <v>7496</v>
      </c>
      <c r="L2033" t="s">
        <v>86</v>
      </c>
      <c r="M2033" t="s">
        <v>21</v>
      </c>
    </row>
    <row r="2034" spans="1:13" x14ac:dyDescent="0.35">
      <c r="A2034" t="str">
        <f>"249-2259"</f>
        <v>249-2259</v>
      </c>
      <c r="B2034" t="s">
        <v>7497</v>
      </c>
      <c r="C2034" t="str">
        <f>"165"</f>
        <v>165</v>
      </c>
      <c r="E2034" t="s">
        <v>7498</v>
      </c>
      <c r="F2034" t="s">
        <v>7499</v>
      </c>
      <c r="G2034" t="s">
        <v>7500</v>
      </c>
      <c r="H2034" t="s">
        <v>17</v>
      </c>
      <c r="I2034" t="s">
        <v>18</v>
      </c>
      <c r="J2034" t="str">
        <f>"5146868100"</f>
        <v>5146868100</v>
      </c>
      <c r="K2034" t="s">
        <v>7501</v>
      </c>
      <c r="L2034" t="s">
        <v>313</v>
      </c>
      <c r="M2034" t="s">
        <v>21</v>
      </c>
    </row>
    <row r="2035" spans="1:13" x14ac:dyDescent="0.35">
      <c r="A2035" t="str">
        <f>"249-2329"</f>
        <v>249-2329</v>
      </c>
      <c r="B2035" t="s">
        <v>7502</v>
      </c>
      <c r="C2035" t="str">
        <f>"1680"</f>
        <v>1680</v>
      </c>
      <c r="E2035" t="s">
        <v>7503</v>
      </c>
      <c r="F2035" t="s">
        <v>2149</v>
      </c>
      <c r="G2035" t="s">
        <v>7504</v>
      </c>
      <c r="H2035" t="s">
        <v>17</v>
      </c>
      <c r="I2035" t="s">
        <v>18</v>
      </c>
      <c r="J2035" t="str">
        <f>"4504473678"</f>
        <v>4504473678</v>
      </c>
      <c r="K2035" t="s">
        <v>7505</v>
      </c>
      <c r="L2035" t="s">
        <v>39</v>
      </c>
      <c r="M2035" t="s">
        <v>21</v>
      </c>
    </row>
    <row r="2036" spans="1:13" x14ac:dyDescent="0.35">
      <c r="A2036" t="str">
        <f>"622-7649"</f>
        <v>622-7649</v>
      </c>
      <c r="B2036" t="s">
        <v>7506</v>
      </c>
      <c r="C2036" t="str">
        <f>"5251"</f>
        <v>5251</v>
      </c>
      <c r="D2036" t="str">
        <f>"A"</f>
        <v>A</v>
      </c>
      <c r="E2036" t="s">
        <v>2951</v>
      </c>
      <c r="F2036" t="s">
        <v>24</v>
      </c>
      <c r="G2036" t="s">
        <v>2257</v>
      </c>
      <c r="H2036" t="s">
        <v>17</v>
      </c>
      <c r="I2036" t="s">
        <v>18</v>
      </c>
      <c r="J2036" t="str">
        <f>"8199626302"</f>
        <v>8199626302</v>
      </c>
      <c r="K2036" t="s">
        <v>7507</v>
      </c>
      <c r="L2036" t="s">
        <v>466</v>
      </c>
      <c r="M2036" t="s">
        <v>21</v>
      </c>
    </row>
    <row r="2037" spans="1:13" x14ac:dyDescent="0.35">
      <c r="A2037" t="str">
        <f>"623-1188"</f>
        <v>623-1188</v>
      </c>
      <c r="B2037" t="s">
        <v>7508</v>
      </c>
      <c r="C2037" t="str">
        <f>"1300"</f>
        <v>1300</v>
      </c>
      <c r="E2037" t="s">
        <v>7509</v>
      </c>
      <c r="F2037" t="s">
        <v>1197</v>
      </c>
      <c r="G2037" t="s">
        <v>7510</v>
      </c>
      <c r="H2037" t="s">
        <v>17</v>
      </c>
      <c r="I2037" t="s">
        <v>18</v>
      </c>
      <c r="J2037" t="str">
        <f>"5145038879"</f>
        <v>5145038879</v>
      </c>
      <c r="K2037" t="s">
        <v>7511</v>
      </c>
      <c r="L2037" t="s">
        <v>29</v>
      </c>
      <c r="M2037" t="s">
        <v>21</v>
      </c>
    </row>
    <row r="2038" spans="1:13" x14ac:dyDescent="0.35">
      <c r="A2038" t="str">
        <f>"629-1196"</f>
        <v>629-1196</v>
      </c>
      <c r="B2038" t="s">
        <v>7512</v>
      </c>
      <c r="C2038" t="str">
        <f>"3340"</f>
        <v>3340</v>
      </c>
      <c r="D2038" t="str">
        <f>"104"</f>
        <v>104</v>
      </c>
      <c r="E2038" t="s">
        <v>7513</v>
      </c>
      <c r="F2038" t="s">
        <v>54</v>
      </c>
      <c r="G2038" t="s">
        <v>7514</v>
      </c>
      <c r="H2038" t="s">
        <v>17</v>
      </c>
      <c r="I2038" t="s">
        <v>18</v>
      </c>
      <c r="J2038" t="str">
        <f>"4389206481"</f>
        <v>4389206481</v>
      </c>
      <c r="K2038" t="s">
        <v>7515</v>
      </c>
      <c r="L2038" t="s">
        <v>20</v>
      </c>
      <c r="M2038" t="s">
        <v>21</v>
      </c>
    </row>
    <row r="2039" spans="1:13" x14ac:dyDescent="0.35">
      <c r="A2039" t="str">
        <f>"629-1205"</f>
        <v>629-1205</v>
      </c>
      <c r="B2039" t="s">
        <v>7516</v>
      </c>
      <c r="C2039" t="str">
        <f>"8010"</f>
        <v>8010</v>
      </c>
      <c r="D2039" t="str">
        <f>"01"</f>
        <v>01</v>
      </c>
      <c r="E2039" t="s">
        <v>129</v>
      </c>
      <c r="F2039" t="s">
        <v>24</v>
      </c>
      <c r="G2039" t="s">
        <v>1862</v>
      </c>
      <c r="H2039" t="s">
        <v>17</v>
      </c>
      <c r="I2039" t="s">
        <v>18</v>
      </c>
      <c r="J2039" t="str">
        <f>"4389251696"</f>
        <v>4389251696</v>
      </c>
      <c r="K2039" t="s">
        <v>7517</v>
      </c>
      <c r="L2039" t="s">
        <v>86</v>
      </c>
      <c r="M2039" t="s">
        <v>21</v>
      </c>
    </row>
    <row r="2040" spans="1:13" x14ac:dyDescent="0.35">
      <c r="A2040" t="str">
        <f>"629-1390"</f>
        <v>629-1390</v>
      </c>
      <c r="B2040" t="s">
        <v>7518</v>
      </c>
      <c r="C2040" t="str">
        <f>"32"</f>
        <v>32</v>
      </c>
      <c r="E2040" t="s">
        <v>7519</v>
      </c>
      <c r="F2040" t="s">
        <v>32</v>
      </c>
      <c r="G2040" t="s">
        <v>7520</v>
      </c>
      <c r="H2040" t="s">
        <v>17</v>
      </c>
      <c r="I2040" t="s">
        <v>18</v>
      </c>
      <c r="J2040" t="str">
        <f>"5142061464"</f>
        <v>5142061464</v>
      </c>
      <c r="K2040" t="s">
        <v>7521</v>
      </c>
      <c r="L2040" t="s">
        <v>86</v>
      </c>
      <c r="M2040" t="s">
        <v>21</v>
      </c>
    </row>
    <row r="2041" spans="1:13" x14ac:dyDescent="0.35">
      <c r="A2041" t="str">
        <f>"629-1590"</f>
        <v>629-1590</v>
      </c>
      <c r="B2041" t="s">
        <v>7522</v>
      </c>
      <c r="C2041" t="str">
        <f>"9442"</f>
        <v>9442</v>
      </c>
      <c r="E2041" t="s">
        <v>7523</v>
      </c>
      <c r="F2041" t="s">
        <v>24</v>
      </c>
      <c r="G2041" t="s">
        <v>3131</v>
      </c>
      <c r="H2041" t="s">
        <v>17</v>
      </c>
      <c r="I2041" t="s">
        <v>18</v>
      </c>
      <c r="J2041" t="str">
        <f>"4385254341"</f>
        <v>4385254341</v>
      </c>
      <c r="K2041" t="s">
        <v>7524</v>
      </c>
      <c r="L2041" t="s">
        <v>86</v>
      </c>
      <c r="M2041" t="s">
        <v>21</v>
      </c>
    </row>
    <row r="2042" spans="1:13" x14ac:dyDescent="0.35">
      <c r="A2042" t="str">
        <f>"630-3189"</f>
        <v>630-3189</v>
      </c>
      <c r="B2042" t="s">
        <v>7525</v>
      </c>
      <c r="C2042" t="str">
        <f>"1600"</f>
        <v>1600</v>
      </c>
      <c r="D2042" t="str">
        <f>"305"</f>
        <v>305</v>
      </c>
      <c r="E2042" t="s">
        <v>7526</v>
      </c>
      <c r="F2042" t="s">
        <v>24</v>
      </c>
      <c r="G2042" t="s">
        <v>7527</v>
      </c>
      <c r="H2042" t="s">
        <v>17</v>
      </c>
      <c r="I2042" t="s">
        <v>18</v>
      </c>
      <c r="J2042" t="str">
        <f>"4389292440"</f>
        <v>4389292440</v>
      </c>
      <c r="K2042" t="s">
        <v>7528</v>
      </c>
      <c r="L2042" t="s">
        <v>86</v>
      </c>
      <c r="M2042" t="s">
        <v>21</v>
      </c>
    </row>
    <row r="2043" spans="1:13" x14ac:dyDescent="0.35">
      <c r="A2043" t="str">
        <f>"630-3759"</f>
        <v>630-3759</v>
      </c>
      <c r="B2043" t="s">
        <v>7529</v>
      </c>
      <c r="C2043" t="str">
        <f>"8590"</f>
        <v>8590</v>
      </c>
      <c r="E2043" t="s">
        <v>5441</v>
      </c>
      <c r="F2043" t="s">
        <v>24</v>
      </c>
      <c r="G2043" t="s">
        <v>7530</v>
      </c>
      <c r="H2043" t="s">
        <v>17</v>
      </c>
      <c r="I2043" t="s">
        <v>18</v>
      </c>
      <c r="J2043" t="str">
        <f>"4389200832"</f>
        <v>4389200832</v>
      </c>
      <c r="K2043" t="s">
        <v>7531</v>
      </c>
      <c r="L2043" t="s">
        <v>168</v>
      </c>
      <c r="M2043" t="s">
        <v>21</v>
      </c>
    </row>
    <row r="2044" spans="1:13" x14ac:dyDescent="0.35">
      <c r="A2044" t="str">
        <f>"630-3498"</f>
        <v>630-3498</v>
      </c>
      <c r="B2044" t="s">
        <v>7532</v>
      </c>
      <c r="C2044" t="str">
        <f>"2670"</f>
        <v>2670</v>
      </c>
      <c r="D2044" t="str">
        <f>"2670"</f>
        <v>2670</v>
      </c>
      <c r="E2044" t="s">
        <v>597</v>
      </c>
      <c r="F2044" t="s">
        <v>40</v>
      </c>
      <c r="G2044" t="s">
        <v>7533</v>
      </c>
      <c r="H2044" t="s">
        <v>17</v>
      </c>
      <c r="I2044" t="s">
        <v>18</v>
      </c>
      <c r="J2044" t="str">
        <f>"4384084478"</f>
        <v>4384084478</v>
      </c>
      <c r="K2044" t="s">
        <v>7534</v>
      </c>
      <c r="L2044" t="s">
        <v>86</v>
      </c>
      <c r="M2044" t="s">
        <v>21</v>
      </c>
    </row>
    <row r="2045" spans="1:13" x14ac:dyDescent="0.35">
      <c r="A2045" t="str">
        <f>"630-3793"</f>
        <v>630-3793</v>
      </c>
      <c r="B2045" t="s">
        <v>7535</v>
      </c>
      <c r="C2045" t="str">
        <f>"1566"</f>
        <v>1566</v>
      </c>
      <c r="D2045" t="str">
        <f>"7"</f>
        <v>7</v>
      </c>
      <c r="E2045" t="s">
        <v>2170</v>
      </c>
      <c r="F2045" t="s">
        <v>24</v>
      </c>
      <c r="G2045" t="s">
        <v>7536</v>
      </c>
      <c r="H2045" t="s">
        <v>17</v>
      </c>
      <c r="I2045" t="s">
        <v>18</v>
      </c>
      <c r="J2045" t="str">
        <f>"5144373877"</f>
        <v>5144373877</v>
      </c>
      <c r="K2045" t="s">
        <v>7537</v>
      </c>
      <c r="L2045" t="s">
        <v>20</v>
      </c>
      <c r="M2045" t="s">
        <v>21</v>
      </c>
    </row>
    <row r="2046" spans="1:13" x14ac:dyDescent="0.35">
      <c r="A2046" t="str">
        <f>"629-4697"</f>
        <v>629-4697</v>
      </c>
      <c r="B2046" t="s">
        <v>7538</v>
      </c>
      <c r="C2046" t="str">
        <f>"10207"</f>
        <v>10207</v>
      </c>
      <c r="E2046" t="s">
        <v>1396</v>
      </c>
      <c r="F2046" t="s">
        <v>24</v>
      </c>
      <c r="G2046" t="s">
        <v>1397</v>
      </c>
      <c r="H2046" t="s">
        <v>17</v>
      </c>
      <c r="I2046" t="s">
        <v>18</v>
      </c>
      <c r="J2046" t="str">
        <f>"5148078099"</f>
        <v>5148078099</v>
      </c>
      <c r="K2046" t="s">
        <v>7539</v>
      </c>
      <c r="L2046" t="s">
        <v>220</v>
      </c>
      <c r="M2046" t="s">
        <v>21</v>
      </c>
    </row>
    <row r="2047" spans="1:13" x14ac:dyDescent="0.35">
      <c r="A2047" t="str">
        <f>"629-8801"</f>
        <v>629-8801</v>
      </c>
      <c r="B2047" t="s">
        <v>7540</v>
      </c>
      <c r="C2047" t="str">
        <f>"6407"</f>
        <v>6407</v>
      </c>
      <c r="E2047" t="s">
        <v>7541</v>
      </c>
      <c r="F2047" t="s">
        <v>40</v>
      </c>
      <c r="G2047" t="s">
        <v>7542</v>
      </c>
      <c r="H2047" t="s">
        <v>17</v>
      </c>
      <c r="I2047" t="s">
        <v>18</v>
      </c>
      <c r="J2047" t="str">
        <f>"5145691276"</f>
        <v>5145691276</v>
      </c>
      <c r="K2047" t="s">
        <v>7543</v>
      </c>
      <c r="L2047" t="s">
        <v>466</v>
      </c>
      <c r="M2047" t="s">
        <v>21</v>
      </c>
    </row>
    <row r="2048" spans="1:13" x14ac:dyDescent="0.35">
      <c r="A2048" t="str">
        <f>"629-8946"</f>
        <v>629-8946</v>
      </c>
      <c r="B2048" t="s">
        <v>7544</v>
      </c>
      <c r="C2048" t="str">
        <f>"5275"</f>
        <v>5275</v>
      </c>
      <c r="D2048" t="str">
        <f>"101"</f>
        <v>101</v>
      </c>
      <c r="E2048" t="s">
        <v>6014</v>
      </c>
      <c r="F2048" t="s">
        <v>24</v>
      </c>
      <c r="G2048" t="s">
        <v>6968</v>
      </c>
      <c r="H2048" t="s">
        <v>17</v>
      </c>
      <c r="I2048" t="s">
        <v>18</v>
      </c>
      <c r="J2048" t="str">
        <f>"5146594012"</f>
        <v>5146594012</v>
      </c>
      <c r="K2048" t="s">
        <v>7545</v>
      </c>
      <c r="L2048" t="s">
        <v>319</v>
      </c>
      <c r="M2048" t="s">
        <v>21</v>
      </c>
    </row>
    <row r="2049" spans="1:13" x14ac:dyDescent="0.35">
      <c r="A2049" t="str">
        <f>"629-9105"</f>
        <v>629-9105</v>
      </c>
      <c r="B2049" t="s">
        <v>7546</v>
      </c>
      <c r="C2049" t="str">
        <f>"3133"</f>
        <v>3133</v>
      </c>
      <c r="E2049" t="s">
        <v>7547</v>
      </c>
      <c r="F2049" t="s">
        <v>24</v>
      </c>
      <c r="G2049" t="s">
        <v>7548</v>
      </c>
      <c r="H2049" t="s">
        <v>17</v>
      </c>
      <c r="I2049" t="s">
        <v>18</v>
      </c>
      <c r="J2049" t="str">
        <f>"5148086291"</f>
        <v>5148086291</v>
      </c>
      <c r="K2049" t="s">
        <v>7549</v>
      </c>
      <c r="L2049" t="s">
        <v>20</v>
      </c>
      <c r="M2049" t="s">
        <v>21</v>
      </c>
    </row>
    <row r="2050" spans="1:13" x14ac:dyDescent="0.35">
      <c r="A2050" t="str">
        <f>"630-9503"</f>
        <v>630-9503</v>
      </c>
      <c r="B2050" t="s">
        <v>7550</v>
      </c>
      <c r="C2050" t="str">
        <f>"102"</f>
        <v>102</v>
      </c>
      <c r="E2050" t="s">
        <v>7551</v>
      </c>
      <c r="F2050" t="s">
        <v>4034</v>
      </c>
      <c r="G2050" t="s">
        <v>7552</v>
      </c>
      <c r="H2050" t="s">
        <v>17</v>
      </c>
      <c r="I2050" t="s">
        <v>18</v>
      </c>
      <c r="J2050" t="str">
        <f>"4183554598"</f>
        <v>4183554598</v>
      </c>
      <c r="K2050" t="s">
        <v>7553</v>
      </c>
      <c r="L2050" t="s">
        <v>313</v>
      </c>
      <c r="M2050" t="s">
        <v>21</v>
      </c>
    </row>
    <row r="2051" spans="1:13" x14ac:dyDescent="0.35">
      <c r="A2051" t="str">
        <f>"630-9795"</f>
        <v>630-9795</v>
      </c>
      <c r="B2051" t="s">
        <v>7554</v>
      </c>
      <c r="C2051" t="str">
        <f>"8734"</f>
        <v>8734</v>
      </c>
      <c r="E2051" t="s">
        <v>7555</v>
      </c>
      <c r="F2051" t="s">
        <v>24</v>
      </c>
      <c r="G2051" t="s">
        <v>7556</v>
      </c>
      <c r="H2051" t="s">
        <v>17</v>
      </c>
      <c r="I2051" t="s">
        <v>18</v>
      </c>
      <c r="J2051" t="str">
        <f>"5142104225"</f>
        <v>5142104225</v>
      </c>
      <c r="K2051" t="s">
        <v>7557</v>
      </c>
      <c r="L2051" t="s">
        <v>86</v>
      </c>
      <c r="M2051" t="s">
        <v>21</v>
      </c>
    </row>
    <row r="2052" spans="1:13" x14ac:dyDescent="0.35">
      <c r="A2052" t="str">
        <f>"006-8608"</f>
        <v>006-8608</v>
      </c>
      <c r="B2052" t="s">
        <v>7558</v>
      </c>
      <c r="C2052" t="str">
        <f>"530"</f>
        <v>530</v>
      </c>
      <c r="E2052" t="s">
        <v>3516</v>
      </c>
      <c r="F2052" t="s">
        <v>1763</v>
      </c>
      <c r="G2052" t="s">
        <v>7559</v>
      </c>
      <c r="H2052" t="s">
        <v>17</v>
      </c>
      <c r="I2052" t="s">
        <v>18</v>
      </c>
      <c r="J2052" t="str">
        <f>"4184466598"</f>
        <v>4184466598</v>
      </c>
      <c r="K2052" t="s">
        <v>7560</v>
      </c>
      <c r="L2052" t="s">
        <v>20</v>
      </c>
      <c r="M2052" t="s">
        <v>21</v>
      </c>
    </row>
    <row r="2053" spans="1:13" x14ac:dyDescent="0.35">
      <c r="A2053" t="str">
        <f>"017-1354"</f>
        <v>017-1354</v>
      </c>
      <c r="B2053" t="s">
        <v>7561</v>
      </c>
      <c r="C2053" t="str">
        <f>"747"</f>
        <v>747</v>
      </c>
      <c r="E2053" t="s">
        <v>7562</v>
      </c>
      <c r="F2053" t="s">
        <v>7563</v>
      </c>
      <c r="G2053" t="s">
        <v>7564</v>
      </c>
      <c r="H2053" t="s">
        <v>17</v>
      </c>
      <c r="I2053" t="s">
        <v>18</v>
      </c>
      <c r="J2053" t="str">
        <f>"5146161412"</f>
        <v>5146161412</v>
      </c>
      <c r="K2053" t="s">
        <v>7565</v>
      </c>
      <c r="L2053" t="s">
        <v>20</v>
      </c>
      <c r="M2053" t="s">
        <v>21</v>
      </c>
    </row>
    <row r="2054" spans="1:13" x14ac:dyDescent="0.35">
      <c r="A2054" t="str">
        <f>"632-4417"</f>
        <v>632-4417</v>
      </c>
      <c r="B2054" t="s">
        <v>7566</v>
      </c>
      <c r="C2054" t="str">
        <f>"422"</f>
        <v>422</v>
      </c>
      <c r="E2054" t="s">
        <v>7567</v>
      </c>
      <c r="F2054" t="s">
        <v>866</v>
      </c>
      <c r="G2054" t="s">
        <v>7568</v>
      </c>
      <c r="H2054" t="s">
        <v>17</v>
      </c>
      <c r="I2054" t="s">
        <v>18</v>
      </c>
      <c r="J2054" t="str">
        <f>"4387637780"</f>
        <v>4387637780</v>
      </c>
      <c r="K2054" t="s">
        <v>7569</v>
      </c>
      <c r="L2054" t="s">
        <v>396</v>
      </c>
      <c r="M2054" t="s">
        <v>21</v>
      </c>
    </row>
    <row r="2055" spans="1:13" x14ac:dyDescent="0.35">
      <c r="A2055" t="str">
        <f>"632-4655"</f>
        <v>632-4655</v>
      </c>
      <c r="B2055" t="s">
        <v>7570</v>
      </c>
      <c r="C2055" t="str">
        <f>"6276"</f>
        <v>6276</v>
      </c>
      <c r="E2055" t="s">
        <v>2644</v>
      </c>
      <c r="F2055" t="s">
        <v>24</v>
      </c>
      <c r="G2055" t="s">
        <v>7571</v>
      </c>
      <c r="H2055" t="s">
        <v>17</v>
      </c>
      <c r="I2055" t="s">
        <v>18</v>
      </c>
      <c r="J2055" t="str">
        <f>"5149514728"</f>
        <v>5149514728</v>
      </c>
      <c r="K2055" t="s">
        <v>7572</v>
      </c>
      <c r="L2055" t="s">
        <v>86</v>
      </c>
      <c r="M2055" t="s">
        <v>21</v>
      </c>
    </row>
    <row r="2056" spans="1:13" x14ac:dyDescent="0.35">
      <c r="A2056" t="str">
        <f>"632-4708"</f>
        <v>632-4708</v>
      </c>
      <c r="B2056" t="s">
        <v>7573</v>
      </c>
      <c r="C2056" t="str">
        <f>"441"</f>
        <v>441</v>
      </c>
      <c r="E2056" t="s">
        <v>7574</v>
      </c>
      <c r="F2056" t="s">
        <v>7575</v>
      </c>
      <c r="G2056" t="s">
        <v>7576</v>
      </c>
      <c r="H2056" t="s">
        <v>17</v>
      </c>
      <c r="I2056" t="s">
        <v>18</v>
      </c>
      <c r="J2056" t="str">
        <f>"5144630770"</f>
        <v>5144630770</v>
      </c>
      <c r="K2056" t="s">
        <v>7577</v>
      </c>
      <c r="L2056" t="s">
        <v>319</v>
      </c>
      <c r="M2056" t="s">
        <v>21</v>
      </c>
    </row>
    <row r="2057" spans="1:13" x14ac:dyDescent="0.35">
      <c r="A2057" t="str">
        <f>"632-4929"</f>
        <v>632-4929</v>
      </c>
      <c r="B2057" t="s">
        <v>7578</v>
      </c>
      <c r="C2057" t="str">
        <f>"3344"</f>
        <v>3344</v>
      </c>
      <c r="E2057" t="s">
        <v>4341</v>
      </c>
      <c r="F2057" t="s">
        <v>24</v>
      </c>
      <c r="G2057" t="s">
        <v>7579</v>
      </c>
      <c r="H2057" t="s">
        <v>17</v>
      </c>
      <c r="I2057" t="s">
        <v>18</v>
      </c>
      <c r="J2057" t="str">
        <f>"5147224705"</f>
        <v>5147224705</v>
      </c>
      <c r="K2057" t="s">
        <v>7580</v>
      </c>
      <c r="L2057" t="s">
        <v>305</v>
      </c>
      <c r="M2057" t="s">
        <v>21</v>
      </c>
    </row>
    <row r="2058" spans="1:13" x14ac:dyDescent="0.35">
      <c r="A2058" t="str">
        <f>"632-5053"</f>
        <v>632-5053</v>
      </c>
      <c r="B2058" t="s">
        <v>7581</v>
      </c>
      <c r="C2058" t="str">
        <f>"6660"</f>
        <v>6660</v>
      </c>
      <c r="D2058" t="str">
        <f>"307"</f>
        <v>307</v>
      </c>
      <c r="E2058" t="s">
        <v>7582</v>
      </c>
      <c r="F2058" t="s">
        <v>24</v>
      </c>
      <c r="G2058" t="s">
        <v>7583</v>
      </c>
      <c r="H2058" t="s">
        <v>17</v>
      </c>
      <c r="I2058" t="s">
        <v>18</v>
      </c>
      <c r="J2058" t="str">
        <f>"4389889134"</f>
        <v>4389889134</v>
      </c>
      <c r="K2058" t="s">
        <v>7584</v>
      </c>
      <c r="L2058" t="s">
        <v>193</v>
      </c>
      <c r="M2058" t="s">
        <v>21</v>
      </c>
    </row>
    <row r="2059" spans="1:13" x14ac:dyDescent="0.35">
      <c r="A2059" t="str">
        <f>"632-6706"</f>
        <v>632-6706</v>
      </c>
      <c r="B2059" t="s">
        <v>7585</v>
      </c>
      <c r="C2059" t="str">
        <f>"8051"</f>
        <v>8051</v>
      </c>
      <c r="E2059" t="s">
        <v>4424</v>
      </c>
      <c r="F2059" t="s">
        <v>24</v>
      </c>
      <c r="G2059" t="s">
        <v>6773</v>
      </c>
      <c r="H2059" t="s">
        <v>17</v>
      </c>
      <c r="I2059" t="s">
        <v>18</v>
      </c>
      <c r="J2059" t="str">
        <f>"5142762370"</f>
        <v>5142762370</v>
      </c>
      <c r="K2059" t="s">
        <v>7586</v>
      </c>
      <c r="L2059" t="s">
        <v>86</v>
      </c>
      <c r="M2059" t="s">
        <v>21</v>
      </c>
    </row>
    <row r="2060" spans="1:13" x14ac:dyDescent="0.35">
      <c r="A2060" t="str">
        <f>"632-6866"</f>
        <v>632-6866</v>
      </c>
      <c r="B2060" t="s">
        <v>7587</v>
      </c>
      <c r="C2060" t="str">
        <f>"16060"</f>
        <v>16060</v>
      </c>
      <c r="E2060" t="s">
        <v>1067</v>
      </c>
      <c r="F2060" t="s">
        <v>24</v>
      </c>
      <c r="G2060" t="s">
        <v>7588</v>
      </c>
      <c r="H2060" t="s">
        <v>17</v>
      </c>
      <c r="I2060" t="s">
        <v>18</v>
      </c>
      <c r="J2060" t="str">
        <f>"4385290366"</f>
        <v>4385290366</v>
      </c>
      <c r="K2060" t="s">
        <v>7589</v>
      </c>
      <c r="L2060" t="s">
        <v>86</v>
      </c>
      <c r="M2060" t="s">
        <v>21</v>
      </c>
    </row>
    <row r="2061" spans="1:13" x14ac:dyDescent="0.35">
      <c r="A2061" t="str">
        <f>"632-7421"</f>
        <v>632-7421</v>
      </c>
      <c r="B2061" t="s">
        <v>7590</v>
      </c>
      <c r="C2061" t="str">
        <f>"12647"</f>
        <v>12647</v>
      </c>
      <c r="E2061" t="s">
        <v>1875</v>
      </c>
      <c r="F2061" t="s">
        <v>24</v>
      </c>
      <c r="G2061" t="s">
        <v>7591</v>
      </c>
      <c r="H2061" t="s">
        <v>17</v>
      </c>
      <c r="I2061" t="s">
        <v>18</v>
      </c>
      <c r="J2061" t="str">
        <f>"4385262190"</f>
        <v>4385262190</v>
      </c>
      <c r="K2061" t="s">
        <v>7592</v>
      </c>
      <c r="L2061" t="s">
        <v>86</v>
      </c>
      <c r="M2061" t="s">
        <v>21</v>
      </c>
    </row>
    <row r="2062" spans="1:13" x14ac:dyDescent="0.35">
      <c r="A2062" t="str">
        <f>"172-8117"</f>
        <v>172-8117</v>
      </c>
      <c r="B2062" t="s">
        <v>7593</v>
      </c>
      <c r="C2062" t="str">
        <f>"625"</f>
        <v>625</v>
      </c>
      <c r="E2062" t="s">
        <v>7594</v>
      </c>
      <c r="F2062" t="s">
        <v>54</v>
      </c>
      <c r="G2062" t="s">
        <v>7595</v>
      </c>
      <c r="H2062" t="s">
        <v>17</v>
      </c>
      <c r="I2062" t="s">
        <v>18</v>
      </c>
      <c r="J2062" t="str">
        <f>"5148896979"</f>
        <v>5148896979</v>
      </c>
      <c r="K2062" t="s">
        <v>7596</v>
      </c>
      <c r="L2062" t="s">
        <v>313</v>
      </c>
      <c r="M2062" t="s">
        <v>21</v>
      </c>
    </row>
    <row r="2063" spans="1:13" x14ac:dyDescent="0.35">
      <c r="A2063" t="str">
        <f>"172-9688"</f>
        <v>172-9688</v>
      </c>
      <c r="B2063" t="s">
        <v>7597</v>
      </c>
      <c r="C2063" t="str">
        <f>"7995"</f>
        <v>7995</v>
      </c>
      <c r="D2063" t="str">
        <f>"24"</f>
        <v>24</v>
      </c>
      <c r="E2063" t="s">
        <v>4629</v>
      </c>
      <c r="F2063" t="s">
        <v>24</v>
      </c>
      <c r="G2063" t="s">
        <v>7598</v>
      </c>
      <c r="H2063" t="s">
        <v>17</v>
      </c>
      <c r="I2063" t="s">
        <v>18</v>
      </c>
      <c r="J2063" t="str">
        <f>"5146042418"</f>
        <v>5146042418</v>
      </c>
      <c r="K2063" t="s">
        <v>7599</v>
      </c>
      <c r="L2063" t="s">
        <v>313</v>
      </c>
      <c r="M2063" t="s">
        <v>21</v>
      </c>
    </row>
    <row r="2064" spans="1:13" x14ac:dyDescent="0.35">
      <c r="A2064" t="str">
        <f>"631-2562"</f>
        <v>631-2562</v>
      </c>
      <c r="B2064" t="s">
        <v>7600</v>
      </c>
      <c r="C2064" t="str">
        <f>"1410"</f>
        <v>1410</v>
      </c>
      <c r="D2064" t="str">
        <f>"6"</f>
        <v>6</v>
      </c>
      <c r="E2064" t="s">
        <v>7601</v>
      </c>
      <c r="F2064" t="s">
        <v>157</v>
      </c>
      <c r="G2064" t="s">
        <v>7602</v>
      </c>
      <c r="H2064" t="s">
        <v>17</v>
      </c>
      <c r="I2064" t="s">
        <v>18</v>
      </c>
      <c r="J2064" t="str">
        <f>"4387221770"</f>
        <v>4387221770</v>
      </c>
      <c r="K2064" t="s">
        <v>7603</v>
      </c>
      <c r="L2064" t="s">
        <v>350</v>
      </c>
      <c r="M2064" t="s">
        <v>21</v>
      </c>
    </row>
    <row r="2065" spans="1:13" x14ac:dyDescent="0.35">
      <c r="A2065" t="str">
        <f>"631-2840"</f>
        <v>631-2840</v>
      </c>
      <c r="B2065" t="s">
        <v>7604</v>
      </c>
      <c r="C2065" t="str">
        <f>"1735"</f>
        <v>1735</v>
      </c>
      <c r="D2065" t="str">
        <f>"201"</f>
        <v>201</v>
      </c>
      <c r="E2065" t="s">
        <v>250</v>
      </c>
      <c r="F2065" t="s">
        <v>24</v>
      </c>
      <c r="G2065" t="s">
        <v>2514</v>
      </c>
      <c r="H2065" t="s">
        <v>17</v>
      </c>
      <c r="I2065" t="s">
        <v>18</v>
      </c>
      <c r="J2065" t="str">
        <f>"4387735836"</f>
        <v>4387735836</v>
      </c>
      <c r="K2065" t="s">
        <v>7605</v>
      </c>
      <c r="L2065" t="s">
        <v>86</v>
      </c>
      <c r="M2065" t="s">
        <v>21</v>
      </c>
    </row>
    <row r="2066" spans="1:13" x14ac:dyDescent="0.35">
      <c r="A2066" t="str">
        <f>"631-3202"</f>
        <v>631-3202</v>
      </c>
      <c r="B2066" t="s">
        <v>7606</v>
      </c>
      <c r="C2066" t="str">
        <f>"41"</f>
        <v>41</v>
      </c>
      <c r="E2066" t="s">
        <v>7607</v>
      </c>
      <c r="F2066" t="s">
        <v>43</v>
      </c>
      <c r="G2066" t="s">
        <v>7608</v>
      </c>
      <c r="H2066" t="s">
        <v>17</v>
      </c>
      <c r="I2066" t="s">
        <v>18</v>
      </c>
      <c r="J2066" t="str">
        <f>"4509442007"</f>
        <v>4509442007</v>
      </c>
      <c r="K2066" t="s">
        <v>7609</v>
      </c>
      <c r="L2066" t="s">
        <v>198</v>
      </c>
      <c r="M2066" t="s">
        <v>21</v>
      </c>
    </row>
    <row r="2067" spans="1:13" x14ac:dyDescent="0.35">
      <c r="A2067" t="str">
        <f>"631-3473"</f>
        <v>631-3473</v>
      </c>
      <c r="B2067" t="s">
        <v>7610</v>
      </c>
      <c r="C2067" t="str">
        <f>"3469"</f>
        <v>3469</v>
      </c>
      <c r="D2067" t="str">
        <f>"260"</f>
        <v>260</v>
      </c>
      <c r="E2067" t="s">
        <v>455</v>
      </c>
      <c r="F2067" t="s">
        <v>24</v>
      </c>
      <c r="G2067" t="s">
        <v>1097</v>
      </c>
      <c r="H2067" t="s">
        <v>17</v>
      </c>
      <c r="I2067" t="s">
        <v>18</v>
      </c>
      <c r="J2067" t="str">
        <f>"4384041137"</f>
        <v>4384041137</v>
      </c>
      <c r="K2067" t="s">
        <v>7611</v>
      </c>
      <c r="L2067" t="s">
        <v>86</v>
      </c>
      <c r="M2067" t="s">
        <v>21</v>
      </c>
    </row>
    <row r="2068" spans="1:13" x14ac:dyDescent="0.35">
      <c r="A2068" t="str">
        <f>"631-3687"</f>
        <v>631-3687</v>
      </c>
      <c r="B2068" t="s">
        <v>7612</v>
      </c>
      <c r="C2068" t="str">
        <f>"7721"</f>
        <v>7721</v>
      </c>
      <c r="D2068" t="str">
        <f>"403"</f>
        <v>403</v>
      </c>
      <c r="E2068" t="s">
        <v>7613</v>
      </c>
      <c r="F2068" t="s">
        <v>24</v>
      </c>
      <c r="G2068" t="s">
        <v>7614</v>
      </c>
      <c r="H2068" t="s">
        <v>17</v>
      </c>
      <c r="I2068" t="s">
        <v>18</v>
      </c>
      <c r="J2068" t="str">
        <f>"5146273641"</f>
        <v>5146273641</v>
      </c>
      <c r="K2068" t="s">
        <v>7615</v>
      </c>
      <c r="L2068" t="s">
        <v>86</v>
      </c>
      <c r="M2068" t="s">
        <v>21</v>
      </c>
    </row>
    <row r="2069" spans="1:13" x14ac:dyDescent="0.35">
      <c r="A2069" t="str">
        <f>"631-5512"</f>
        <v>631-5512</v>
      </c>
      <c r="B2069" t="s">
        <v>7616</v>
      </c>
      <c r="C2069" t="str">
        <f>"2167"</f>
        <v>2167</v>
      </c>
      <c r="E2069" t="s">
        <v>7617</v>
      </c>
      <c r="F2069" t="s">
        <v>24</v>
      </c>
      <c r="G2069" t="s">
        <v>7618</v>
      </c>
      <c r="H2069" t="s">
        <v>17</v>
      </c>
      <c r="I2069" t="s">
        <v>18</v>
      </c>
      <c r="J2069" t="str">
        <f>"4383791258"</f>
        <v>4383791258</v>
      </c>
      <c r="K2069" t="s">
        <v>7619</v>
      </c>
      <c r="L2069" t="s">
        <v>383</v>
      </c>
      <c r="M2069" t="s">
        <v>21</v>
      </c>
    </row>
    <row r="2070" spans="1:13" x14ac:dyDescent="0.35">
      <c r="A2070" t="str">
        <f>"631-5541"</f>
        <v>631-5541</v>
      </c>
      <c r="B2070" t="s">
        <v>7620</v>
      </c>
      <c r="C2070" t="str">
        <f>"2841"</f>
        <v>2841</v>
      </c>
      <c r="E2070" t="s">
        <v>5563</v>
      </c>
      <c r="F2070" t="s">
        <v>24</v>
      </c>
      <c r="G2070" t="s">
        <v>7621</v>
      </c>
      <c r="H2070" t="s">
        <v>17</v>
      </c>
      <c r="I2070" t="s">
        <v>18</v>
      </c>
      <c r="J2070" t="str">
        <f>"5146193892"</f>
        <v>5146193892</v>
      </c>
      <c r="K2070" t="s">
        <v>7622</v>
      </c>
      <c r="L2070" t="s">
        <v>86</v>
      </c>
      <c r="M2070" t="s">
        <v>21</v>
      </c>
    </row>
    <row r="2071" spans="1:13" x14ac:dyDescent="0.35">
      <c r="A2071" t="str">
        <f>"631-5666"</f>
        <v>631-5666</v>
      </c>
      <c r="B2071" t="s">
        <v>7623</v>
      </c>
      <c r="C2071" t="str">
        <f>"5708"</f>
        <v>5708</v>
      </c>
      <c r="E2071" t="s">
        <v>238</v>
      </c>
      <c r="F2071" t="s">
        <v>24</v>
      </c>
      <c r="G2071" t="s">
        <v>7624</v>
      </c>
      <c r="H2071" t="s">
        <v>17</v>
      </c>
      <c r="I2071" t="s">
        <v>18</v>
      </c>
      <c r="J2071" t="str">
        <f>"4385301217"</f>
        <v>4385301217</v>
      </c>
      <c r="K2071" t="s">
        <v>7625</v>
      </c>
      <c r="L2071" t="s">
        <v>86</v>
      </c>
      <c r="M2071" t="s">
        <v>21</v>
      </c>
    </row>
    <row r="2072" spans="1:13" x14ac:dyDescent="0.35">
      <c r="A2072" t="str">
        <f>"631-5767"</f>
        <v>631-5767</v>
      </c>
      <c r="B2072" t="s">
        <v>7626</v>
      </c>
      <c r="C2072" t="str">
        <f>"7417"</f>
        <v>7417</v>
      </c>
      <c r="E2072" t="s">
        <v>1300</v>
      </c>
      <c r="F2072" t="s">
        <v>40</v>
      </c>
      <c r="G2072" t="s">
        <v>7627</v>
      </c>
      <c r="H2072" t="s">
        <v>17</v>
      </c>
      <c r="I2072" t="s">
        <v>18</v>
      </c>
      <c r="J2072" t="str">
        <f>"4388727734"</f>
        <v>4388727734</v>
      </c>
      <c r="K2072" t="s">
        <v>7628</v>
      </c>
      <c r="L2072" t="s">
        <v>383</v>
      </c>
      <c r="M2072" t="s">
        <v>21</v>
      </c>
    </row>
    <row r="2073" spans="1:13" x14ac:dyDescent="0.35">
      <c r="A2073" t="str">
        <f>"631-5793"</f>
        <v>631-5793</v>
      </c>
      <c r="B2073" t="s">
        <v>7629</v>
      </c>
      <c r="C2073" t="str">
        <f>"7097"</f>
        <v>7097</v>
      </c>
      <c r="D2073" t="str">
        <f>"2"</f>
        <v>2</v>
      </c>
      <c r="E2073" t="s">
        <v>1461</v>
      </c>
      <c r="F2073" t="s">
        <v>24</v>
      </c>
      <c r="G2073" t="s">
        <v>7630</v>
      </c>
      <c r="H2073" t="s">
        <v>17</v>
      </c>
      <c r="I2073" t="s">
        <v>18</v>
      </c>
      <c r="J2073" t="str">
        <f>"4386998687"</f>
        <v>4386998687</v>
      </c>
      <c r="K2073" t="s">
        <v>7631</v>
      </c>
      <c r="L2073" t="s">
        <v>466</v>
      </c>
      <c r="M2073" t="s">
        <v>21</v>
      </c>
    </row>
    <row r="2074" spans="1:13" x14ac:dyDescent="0.35">
      <c r="A2074" t="str">
        <f>"631-5883"</f>
        <v>631-5883</v>
      </c>
      <c r="B2074" t="s">
        <v>7632</v>
      </c>
      <c r="C2074" t="str">
        <f>"61"</f>
        <v>61</v>
      </c>
      <c r="D2074" t="str">
        <f>"61"</f>
        <v>61</v>
      </c>
      <c r="E2074" t="s">
        <v>7633</v>
      </c>
      <c r="F2074" t="s">
        <v>2629</v>
      </c>
      <c r="G2074" t="s">
        <v>7634</v>
      </c>
      <c r="H2074" t="s">
        <v>17</v>
      </c>
      <c r="I2074" t="s">
        <v>18</v>
      </c>
      <c r="J2074" t="str">
        <f>"5149713675"</f>
        <v>5149713675</v>
      </c>
      <c r="K2074" t="s">
        <v>7635</v>
      </c>
      <c r="L2074" t="s">
        <v>86</v>
      </c>
      <c r="M2074" t="s">
        <v>21</v>
      </c>
    </row>
    <row r="2075" spans="1:13" x14ac:dyDescent="0.35">
      <c r="A2075" t="str">
        <f>"631-5945"</f>
        <v>631-5945</v>
      </c>
      <c r="B2075" t="s">
        <v>7636</v>
      </c>
      <c r="C2075" t="str">
        <f>"6065"</f>
        <v>6065</v>
      </c>
      <c r="D2075" t="str">
        <f>"232"</f>
        <v>232</v>
      </c>
      <c r="E2075" t="s">
        <v>1276</v>
      </c>
      <c r="F2075" t="s">
        <v>24</v>
      </c>
      <c r="G2075" t="s">
        <v>7637</v>
      </c>
      <c r="H2075" t="s">
        <v>17</v>
      </c>
      <c r="I2075" t="s">
        <v>18</v>
      </c>
      <c r="J2075" t="str">
        <f>"4388763330"</f>
        <v>4388763330</v>
      </c>
      <c r="K2075" t="s">
        <v>7638</v>
      </c>
      <c r="L2075" t="s">
        <v>137</v>
      </c>
      <c r="M2075" t="s">
        <v>21</v>
      </c>
    </row>
    <row r="2076" spans="1:13" x14ac:dyDescent="0.35">
      <c r="A2076" t="str">
        <f>"064-4276"</f>
        <v>064-4276</v>
      </c>
      <c r="B2076" t="s">
        <v>7639</v>
      </c>
      <c r="C2076" t="str">
        <f>"2398"</f>
        <v>2398</v>
      </c>
      <c r="E2076" t="s">
        <v>176</v>
      </c>
      <c r="F2076" t="s">
        <v>24</v>
      </c>
      <c r="G2076" t="s">
        <v>7640</v>
      </c>
      <c r="H2076" t="s">
        <v>17</v>
      </c>
      <c r="I2076" t="s">
        <v>18</v>
      </c>
      <c r="J2076" t="str">
        <f>"5149421375"</f>
        <v>5149421375</v>
      </c>
      <c r="K2076" t="s">
        <v>7641</v>
      </c>
      <c r="L2076" t="s">
        <v>39</v>
      </c>
      <c r="M2076" t="s">
        <v>21</v>
      </c>
    </row>
    <row r="2077" spans="1:13" x14ac:dyDescent="0.35">
      <c r="A2077" t="str">
        <f>"064-9326"</f>
        <v>064-9326</v>
      </c>
      <c r="B2077" t="s">
        <v>7642</v>
      </c>
      <c r="C2077" t="str">
        <f>"4086"</f>
        <v>4086</v>
      </c>
      <c r="E2077" t="s">
        <v>5478</v>
      </c>
      <c r="F2077" t="s">
        <v>24</v>
      </c>
      <c r="G2077" t="s">
        <v>7643</v>
      </c>
      <c r="H2077" t="s">
        <v>17</v>
      </c>
      <c r="I2077" t="s">
        <v>18</v>
      </c>
      <c r="J2077" t="str">
        <f>"5143840975"</f>
        <v>5143840975</v>
      </c>
      <c r="K2077" t="s">
        <v>7644</v>
      </c>
      <c r="L2077" t="s">
        <v>20</v>
      </c>
      <c r="M2077" t="s">
        <v>21</v>
      </c>
    </row>
    <row r="2078" spans="1:13" x14ac:dyDescent="0.35">
      <c r="A2078" t="str">
        <f>"631-7958"</f>
        <v>631-7958</v>
      </c>
      <c r="B2078" t="s">
        <v>7645</v>
      </c>
      <c r="C2078" t="str">
        <f>"4937"</f>
        <v>4937</v>
      </c>
      <c r="E2078" t="s">
        <v>1854</v>
      </c>
      <c r="F2078" t="s">
        <v>24</v>
      </c>
      <c r="G2078" t="s">
        <v>7646</v>
      </c>
      <c r="H2078" t="s">
        <v>17</v>
      </c>
      <c r="I2078" t="s">
        <v>18</v>
      </c>
      <c r="J2078" t="str">
        <f>"5147134016"</f>
        <v>5147134016</v>
      </c>
      <c r="K2078" t="s">
        <v>7647</v>
      </c>
      <c r="L2078" t="s">
        <v>86</v>
      </c>
      <c r="M2078" t="s">
        <v>21</v>
      </c>
    </row>
    <row r="2079" spans="1:13" x14ac:dyDescent="0.35">
      <c r="A2079" t="str">
        <f>"631-8211"</f>
        <v>631-8211</v>
      </c>
      <c r="B2079" t="s">
        <v>7648</v>
      </c>
      <c r="C2079" t="str">
        <f>"5122"</f>
        <v>5122</v>
      </c>
      <c r="E2079" t="s">
        <v>4019</v>
      </c>
      <c r="F2079" t="s">
        <v>24</v>
      </c>
      <c r="G2079" t="s">
        <v>7649</v>
      </c>
      <c r="H2079" t="s">
        <v>17</v>
      </c>
      <c r="I2079" t="s">
        <v>18</v>
      </c>
      <c r="J2079" t="str">
        <f>"5149163910"</f>
        <v>5149163910</v>
      </c>
      <c r="K2079" t="s">
        <v>7650</v>
      </c>
      <c r="L2079" t="s">
        <v>86</v>
      </c>
      <c r="M2079" t="s">
        <v>21</v>
      </c>
    </row>
    <row r="2080" spans="1:13" x14ac:dyDescent="0.35">
      <c r="A2080" t="str">
        <f>"631-8240"</f>
        <v>631-8240</v>
      </c>
      <c r="B2080" t="s">
        <v>7651</v>
      </c>
      <c r="C2080" t="str">
        <f>"16074"</f>
        <v>16074</v>
      </c>
      <c r="D2080" t="str">
        <f>"16074"</f>
        <v>16074</v>
      </c>
      <c r="E2080" t="s">
        <v>7652</v>
      </c>
      <c r="F2080" t="s">
        <v>40</v>
      </c>
      <c r="G2080" t="s">
        <v>5688</v>
      </c>
      <c r="H2080" t="s">
        <v>17</v>
      </c>
      <c r="I2080" t="s">
        <v>18</v>
      </c>
      <c r="J2080" t="str">
        <f>"5148252820"</f>
        <v>5148252820</v>
      </c>
      <c r="K2080" t="s">
        <v>7653</v>
      </c>
      <c r="L2080" t="s">
        <v>220</v>
      </c>
      <c r="M2080" t="s">
        <v>21</v>
      </c>
    </row>
    <row r="2081" spans="1:13" x14ac:dyDescent="0.35">
      <c r="A2081" t="str">
        <f>"631-8338"</f>
        <v>631-8338</v>
      </c>
      <c r="B2081" t="s">
        <v>7654</v>
      </c>
      <c r="C2081" t="str">
        <f>"8625"</f>
        <v>8625</v>
      </c>
      <c r="D2081" t="str">
        <f>"2"</f>
        <v>2</v>
      </c>
      <c r="E2081" t="s">
        <v>236</v>
      </c>
      <c r="F2081" t="s">
        <v>24</v>
      </c>
      <c r="G2081" t="s">
        <v>5252</v>
      </c>
      <c r="H2081" t="s">
        <v>17</v>
      </c>
      <c r="I2081" t="s">
        <v>18</v>
      </c>
      <c r="J2081" t="str">
        <f>"4388336496"</f>
        <v>4388336496</v>
      </c>
      <c r="K2081" t="s">
        <v>7655</v>
      </c>
      <c r="L2081" t="s">
        <v>168</v>
      </c>
      <c r="M2081" t="s">
        <v>21</v>
      </c>
    </row>
    <row r="2082" spans="1:13" x14ac:dyDescent="0.35">
      <c r="A2082" t="str">
        <f>"631-8514"</f>
        <v>631-8514</v>
      </c>
      <c r="B2082" t="s">
        <v>7656</v>
      </c>
      <c r="C2082" t="str">
        <f>"6742"</f>
        <v>6742</v>
      </c>
      <c r="E2082" t="s">
        <v>7657</v>
      </c>
      <c r="F2082" t="s">
        <v>24</v>
      </c>
      <c r="G2082" t="s">
        <v>7658</v>
      </c>
      <c r="H2082" t="s">
        <v>17</v>
      </c>
      <c r="I2082" t="s">
        <v>18</v>
      </c>
      <c r="J2082" t="str">
        <f>"5146795896"</f>
        <v>5146795896</v>
      </c>
      <c r="K2082" t="s">
        <v>7659</v>
      </c>
      <c r="L2082" t="s">
        <v>86</v>
      </c>
      <c r="M2082" t="s">
        <v>21</v>
      </c>
    </row>
    <row r="2083" spans="1:13" x14ac:dyDescent="0.35">
      <c r="A2083" t="str">
        <f>"085-2975"</f>
        <v>085-2975</v>
      </c>
      <c r="B2083" t="s">
        <v>7660</v>
      </c>
      <c r="C2083" t="str">
        <f>"2580"</f>
        <v>2580</v>
      </c>
      <c r="E2083" t="s">
        <v>380</v>
      </c>
      <c r="F2083" t="s">
        <v>40</v>
      </c>
      <c r="G2083" t="s">
        <v>7661</v>
      </c>
      <c r="H2083" t="s">
        <v>17</v>
      </c>
      <c r="I2083" t="s">
        <v>18</v>
      </c>
      <c r="J2083" t="str">
        <f>"4385258599"</f>
        <v>4385258599</v>
      </c>
      <c r="K2083" t="s">
        <v>7662</v>
      </c>
      <c r="L2083" t="s">
        <v>20</v>
      </c>
      <c r="M2083" t="s">
        <v>21</v>
      </c>
    </row>
    <row r="2084" spans="1:13" x14ac:dyDescent="0.35">
      <c r="A2084" t="str">
        <f>"138-6369"</f>
        <v>138-6369</v>
      </c>
      <c r="B2084" t="s">
        <v>7663</v>
      </c>
      <c r="C2084" t="str">
        <f>"67"</f>
        <v>67</v>
      </c>
      <c r="E2084" t="s">
        <v>7664</v>
      </c>
      <c r="F2084" t="s">
        <v>4239</v>
      </c>
      <c r="G2084" t="s">
        <v>7665</v>
      </c>
      <c r="H2084" t="s">
        <v>17</v>
      </c>
      <c r="I2084" t="s">
        <v>18</v>
      </c>
      <c r="J2084" t="str">
        <f>"5149945983"</f>
        <v>5149945983</v>
      </c>
      <c r="K2084" t="s">
        <v>7666</v>
      </c>
      <c r="L2084" t="s">
        <v>319</v>
      </c>
      <c r="M2084" t="s">
        <v>21</v>
      </c>
    </row>
    <row r="2085" spans="1:13" x14ac:dyDescent="0.35">
      <c r="A2085" t="str">
        <f>"139-4091"</f>
        <v>139-4091</v>
      </c>
      <c r="B2085" t="s">
        <v>7667</v>
      </c>
      <c r="C2085" t="str">
        <f>"1409"</f>
        <v>1409</v>
      </c>
      <c r="E2085" t="s">
        <v>7668</v>
      </c>
      <c r="F2085" t="s">
        <v>40</v>
      </c>
      <c r="G2085" t="s">
        <v>4742</v>
      </c>
      <c r="H2085" t="s">
        <v>17</v>
      </c>
      <c r="I2085" t="s">
        <v>18</v>
      </c>
      <c r="J2085" t="str">
        <f>"4383892378"</f>
        <v>4383892378</v>
      </c>
      <c r="K2085" t="s">
        <v>7669</v>
      </c>
      <c r="L2085" t="s">
        <v>20</v>
      </c>
      <c r="M2085" t="s">
        <v>21</v>
      </c>
    </row>
    <row r="2086" spans="1:13" x14ac:dyDescent="0.35">
      <c r="A2086" t="str">
        <f>"142-7576"</f>
        <v>142-7576</v>
      </c>
      <c r="B2086" t="s">
        <v>7670</v>
      </c>
      <c r="C2086" t="str">
        <f>"2373"</f>
        <v>2373</v>
      </c>
      <c r="E2086" t="s">
        <v>7671</v>
      </c>
      <c r="F2086" t="s">
        <v>7672</v>
      </c>
      <c r="G2086" t="s">
        <v>7673</v>
      </c>
      <c r="H2086" t="s">
        <v>17</v>
      </c>
      <c r="I2086" t="s">
        <v>18</v>
      </c>
      <c r="J2086" t="str">
        <f>"5147124553"</f>
        <v>5147124553</v>
      </c>
      <c r="K2086" t="s">
        <v>7674</v>
      </c>
      <c r="L2086" t="s">
        <v>20</v>
      </c>
      <c r="M2086" t="s">
        <v>21</v>
      </c>
    </row>
    <row r="2087" spans="1:13" x14ac:dyDescent="0.35">
      <c r="A2087" t="str">
        <f>"153-4125"</f>
        <v>153-4125</v>
      </c>
      <c r="B2087" t="s">
        <v>7675</v>
      </c>
      <c r="C2087" t="str">
        <f>"5529"</f>
        <v>5529</v>
      </c>
      <c r="E2087" t="s">
        <v>3126</v>
      </c>
      <c r="F2087" t="s">
        <v>24</v>
      </c>
      <c r="G2087" t="s">
        <v>7676</v>
      </c>
      <c r="H2087" t="s">
        <v>17</v>
      </c>
      <c r="I2087" t="s">
        <v>18</v>
      </c>
      <c r="J2087" t="str">
        <f>"4382821049"</f>
        <v>4382821049</v>
      </c>
      <c r="K2087" t="s">
        <v>7677</v>
      </c>
      <c r="L2087" t="s">
        <v>198</v>
      </c>
      <c r="M2087" t="s">
        <v>21</v>
      </c>
    </row>
    <row r="2088" spans="1:13" x14ac:dyDescent="0.35">
      <c r="A2088" t="str">
        <f>"153-4151"</f>
        <v>153-4151</v>
      </c>
      <c r="B2088" t="s">
        <v>7678</v>
      </c>
      <c r="C2088" t="str">
        <f>"12115"</f>
        <v>12115</v>
      </c>
      <c r="E2088" t="s">
        <v>7679</v>
      </c>
      <c r="F2088" t="s">
        <v>24</v>
      </c>
      <c r="G2088" t="s">
        <v>7680</v>
      </c>
      <c r="H2088" t="s">
        <v>17</v>
      </c>
      <c r="I2088" t="s">
        <v>18</v>
      </c>
      <c r="J2088" t="str">
        <f>"5148362912"</f>
        <v>5148362912</v>
      </c>
      <c r="K2088" t="s">
        <v>7681</v>
      </c>
      <c r="L2088" t="s">
        <v>27</v>
      </c>
      <c r="M2088" t="s">
        <v>21</v>
      </c>
    </row>
    <row r="2089" spans="1:13" x14ac:dyDescent="0.35">
      <c r="A2089" t="str">
        <f>"632-9134"</f>
        <v>632-9134</v>
      </c>
      <c r="B2089" t="s">
        <v>7682</v>
      </c>
      <c r="C2089" t="str">
        <f>"10158"</f>
        <v>10158</v>
      </c>
      <c r="E2089" t="s">
        <v>1396</v>
      </c>
      <c r="F2089" t="s">
        <v>24</v>
      </c>
      <c r="G2089" t="s">
        <v>7683</v>
      </c>
      <c r="H2089" t="s">
        <v>17</v>
      </c>
      <c r="I2089" t="s">
        <v>18</v>
      </c>
      <c r="J2089" t="str">
        <f>"5148147494"</f>
        <v>5148147494</v>
      </c>
      <c r="K2089" t="s">
        <v>7684</v>
      </c>
      <c r="L2089" t="s">
        <v>86</v>
      </c>
      <c r="M2089" t="s">
        <v>21</v>
      </c>
    </row>
    <row r="2090" spans="1:13" x14ac:dyDescent="0.35">
      <c r="A2090" t="str">
        <f>"632-9365"</f>
        <v>632-9365</v>
      </c>
      <c r="B2090" t="s">
        <v>7685</v>
      </c>
      <c r="C2090" t="str">
        <f>"6791"</f>
        <v>6791</v>
      </c>
      <c r="E2090" t="s">
        <v>830</v>
      </c>
      <c r="F2090" t="s">
        <v>24</v>
      </c>
      <c r="G2090" t="s">
        <v>7686</v>
      </c>
      <c r="H2090" t="s">
        <v>17</v>
      </c>
      <c r="I2090" t="s">
        <v>18</v>
      </c>
      <c r="J2090" t="str">
        <f>"5144758179"</f>
        <v>5144758179</v>
      </c>
      <c r="K2090" t="s">
        <v>7687</v>
      </c>
      <c r="L2090" t="s">
        <v>86</v>
      </c>
      <c r="M2090" t="s">
        <v>21</v>
      </c>
    </row>
    <row r="2091" spans="1:13" x14ac:dyDescent="0.35">
      <c r="A2091" t="str">
        <f>"632-9367"</f>
        <v>632-9367</v>
      </c>
      <c r="B2091" t="s">
        <v>7688</v>
      </c>
      <c r="C2091" t="str">
        <f>"6319"</f>
        <v>6319</v>
      </c>
      <c r="E2091" t="s">
        <v>176</v>
      </c>
      <c r="F2091" t="s">
        <v>24</v>
      </c>
      <c r="G2091" t="s">
        <v>6746</v>
      </c>
      <c r="H2091" t="s">
        <v>17</v>
      </c>
      <c r="I2091" t="s">
        <v>18</v>
      </c>
      <c r="J2091" t="str">
        <f>"5142923652"</f>
        <v>5142923652</v>
      </c>
      <c r="K2091" t="s">
        <v>7689</v>
      </c>
      <c r="L2091" t="s">
        <v>86</v>
      </c>
      <c r="M2091" t="s">
        <v>21</v>
      </c>
    </row>
    <row r="2092" spans="1:13" x14ac:dyDescent="0.35">
      <c r="A2092" t="str">
        <f>"193-9211"</f>
        <v>193-9211</v>
      </c>
      <c r="B2092" t="s">
        <v>7690</v>
      </c>
      <c r="C2092" t="str">
        <f>"10965"</f>
        <v>10965</v>
      </c>
      <c r="E2092" t="s">
        <v>7691</v>
      </c>
      <c r="F2092" t="s">
        <v>24</v>
      </c>
      <c r="G2092" t="s">
        <v>7692</v>
      </c>
      <c r="H2092" t="s">
        <v>17</v>
      </c>
      <c r="I2092" t="s">
        <v>18</v>
      </c>
      <c r="J2092" t="str">
        <f>"4388809826"</f>
        <v>4388809826</v>
      </c>
      <c r="K2092" t="s">
        <v>7693</v>
      </c>
      <c r="L2092" t="s">
        <v>39</v>
      </c>
      <c r="M2092" t="s">
        <v>21</v>
      </c>
    </row>
    <row r="2093" spans="1:13" x14ac:dyDescent="0.35">
      <c r="A2093" t="str">
        <f>"194-6397"</f>
        <v>194-6397</v>
      </c>
      <c r="B2093" t="s">
        <v>7694</v>
      </c>
      <c r="C2093" t="str">
        <f>"2024"</f>
        <v>2024</v>
      </c>
      <c r="D2093" t="str">
        <f>"6"</f>
        <v>6</v>
      </c>
      <c r="E2093" t="s">
        <v>7695</v>
      </c>
      <c r="F2093" t="s">
        <v>4362</v>
      </c>
      <c r="G2093" t="s">
        <v>7696</v>
      </c>
      <c r="H2093" t="s">
        <v>17</v>
      </c>
      <c r="I2093" t="s">
        <v>18</v>
      </c>
      <c r="J2093" t="str">
        <f>"4505019203"</f>
        <v>4505019203</v>
      </c>
      <c r="K2093" t="s">
        <v>7697</v>
      </c>
      <c r="L2093" t="s">
        <v>313</v>
      </c>
      <c r="M2093" t="s">
        <v>21</v>
      </c>
    </row>
    <row r="2094" spans="1:13" x14ac:dyDescent="0.35">
      <c r="A2094" t="str">
        <f>"195-2577"</f>
        <v>195-2577</v>
      </c>
      <c r="B2094" t="s">
        <v>7698</v>
      </c>
      <c r="C2094" t="str">
        <f>"439"</f>
        <v>439</v>
      </c>
      <c r="D2094" t="str">
        <f>"429"</f>
        <v>429</v>
      </c>
      <c r="E2094" t="s">
        <v>7699</v>
      </c>
      <c r="F2094" t="s">
        <v>24</v>
      </c>
      <c r="G2094" t="s">
        <v>7700</v>
      </c>
      <c r="H2094" t="s">
        <v>17</v>
      </c>
      <c r="I2094" t="s">
        <v>18</v>
      </c>
      <c r="J2094" t="str">
        <f>"4188669000"</f>
        <v>4188669000</v>
      </c>
      <c r="K2094" t="s">
        <v>7701</v>
      </c>
      <c r="L2094" t="s">
        <v>86</v>
      </c>
      <c r="M2094" t="s">
        <v>21</v>
      </c>
    </row>
    <row r="2095" spans="1:13" x14ac:dyDescent="0.35">
      <c r="A2095" t="str">
        <f>"204-6039"</f>
        <v>204-6039</v>
      </c>
      <c r="B2095" t="s">
        <v>7702</v>
      </c>
      <c r="C2095" t="str">
        <f>"3551"</f>
        <v>3551</v>
      </c>
      <c r="E2095" t="s">
        <v>7703</v>
      </c>
      <c r="F2095" t="s">
        <v>2471</v>
      </c>
      <c r="G2095" t="s">
        <v>7704</v>
      </c>
      <c r="H2095" t="s">
        <v>17</v>
      </c>
      <c r="I2095" t="s">
        <v>18</v>
      </c>
      <c r="J2095" t="str">
        <f>"8194465079"</f>
        <v>8194465079</v>
      </c>
      <c r="K2095" t="s">
        <v>7705</v>
      </c>
      <c r="L2095" t="s">
        <v>20</v>
      </c>
      <c r="M2095" t="s">
        <v>21</v>
      </c>
    </row>
    <row r="2096" spans="1:13" x14ac:dyDescent="0.35">
      <c r="A2096" t="str">
        <f>"205-7023"</f>
        <v>205-7023</v>
      </c>
      <c r="B2096" t="s">
        <v>7706</v>
      </c>
      <c r="C2096" t="str">
        <f>"6227"</f>
        <v>6227</v>
      </c>
      <c r="E2096" t="s">
        <v>7707</v>
      </c>
      <c r="F2096" t="s">
        <v>24</v>
      </c>
      <c r="G2096" t="s">
        <v>7708</v>
      </c>
      <c r="H2096" t="s">
        <v>17</v>
      </c>
      <c r="I2096" t="s">
        <v>18</v>
      </c>
      <c r="J2096" t="str">
        <f>"5147292669"</f>
        <v>5147292669</v>
      </c>
      <c r="K2096" t="s">
        <v>7709</v>
      </c>
      <c r="L2096" t="s">
        <v>220</v>
      </c>
      <c r="M2096" t="s">
        <v>21</v>
      </c>
    </row>
    <row r="2097" spans="1:13" x14ac:dyDescent="0.35">
      <c r="A2097" t="str">
        <f>"219-0108"</f>
        <v>219-0108</v>
      </c>
      <c r="B2097" t="s">
        <v>7710</v>
      </c>
      <c r="C2097" t="str">
        <f>"3831"</f>
        <v>3831</v>
      </c>
      <c r="E2097" t="s">
        <v>5778</v>
      </c>
      <c r="F2097" t="s">
        <v>54</v>
      </c>
      <c r="G2097" t="s">
        <v>5779</v>
      </c>
      <c r="H2097" t="s">
        <v>17</v>
      </c>
      <c r="I2097" t="s">
        <v>18</v>
      </c>
      <c r="J2097" t="str">
        <f>"5148030417"</f>
        <v>5148030417</v>
      </c>
      <c r="K2097" t="s">
        <v>7711</v>
      </c>
      <c r="L2097" t="s">
        <v>86</v>
      </c>
      <c r="M2097" t="s">
        <v>21</v>
      </c>
    </row>
    <row r="2098" spans="1:13" x14ac:dyDescent="0.35">
      <c r="A2098" t="str">
        <f>"227-8672"</f>
        <v>227-8672</v>
      </c>
      <c r="B2098" t="s">
        <v>7712</v>
      </c>
      <c r="C2098" t="str">
        <f>"4410"</f>
        <v>4410</v>
      </c>
      <c r="E2098" t="s">
        <v>5563</v>
      </c>
      <c r="F2098" t="s">
        <v>24</v>
      </c>
      <c r="G2098" t="s">
        <v>7713</v>
      </c>
      <c r="H2098" t="s">
        <v>17</v>
      </c>
      <c r="I2098" t="s">
        <v>18</v>
      </c>
      <c r="J2098" t="str">
        <f>"5147107944"</f>
        <v>5147107944</v>
      </c>
      <c r="K2098" t="s">
        <v>7714</v>
      </c>
      <c r="L2098" t="s">
        <v>29</v>
      </c>
      <c r="M2098" t="s">
        <v>21</v>
      </c>
    </row>
    <row r="2099" spans="1:13" x14ac:dyDescent="0.35">
      <c r="A2099" t="str">
        <f>"227-8945"</f>
        <v>227-8945</v>
      </c>
      <c r="B2099" t="s">
        <v>7715</v>
      </c>
      <c r="C2099" t="str">
        <f>"5123"</f>
        <v>5123</v>
      </c>
      <c r="E2099" t="s">
        <v>4092</v>
      </c>
      <c r="F2099" t="s">
        <v>24</v>
      </c>
      <c r="G2099" t="s">
        <v>7716</v>
      </c>
      <c r="H2099" t="s">
        <v>17</v>
      </c>
      <c r="I2099" t="s">
        <v>18</v>
      </c>
      <c r="J2099" t="str">
        <f>"4384590605"</f>
        <v>4384590605</v>
      </c>
      <c r="K2099" t="s">
        <v>7717</v>
      </c>
      <c r="L2099" t="s">
        <v>220</v>
      </c>
      <c r="M2099" t="s">
        <v>21</v>
      </c>
    </row>
    <row r="2100" spans="1:13" x14ac:dyDescent="0.35">
      <c r="A2100" t="str">
        <f>"227-9592"</f>
        <v>227-9592</v>
      </c>
      <c r="B2100" t="s">
        <v>7718</v>
      </c>
      <c r="C2100" t="str">
        <f>"6210"</f>
        <v>6210</v>
      </c>
      <c r="E2100" t="s">
        <v>7719</v>
      </c>
      <c r="F2100" t="s">
        <v>24</v>
      </c>
      <c r="G2100" t="s">
        <v>7720</v>
      </c>
      <c r="H2100" t="s">
        <v>17</v>
      </c>
      <c r="I2100" t="s">
        <v>18</v>
      </c>
      <c r="J2100" t="str">
        <f>"5142138606"</f>
        <v>5142138606</v>
      </c>
      <c r="K2100" t="s">
        <v>7721</v>
      </c>
      <c r="L2100" t="s">
        <v>86</v>
      </c>
      <c r="M2100" t="s">
        <v>21</v>
      </c>
    </row>
    <row r="2101" spans="1:13" x14ac:dyDescent="0.35">
      <c r="A2101" t="str">
        <f>"233-4034"</f>
        <v>233-4034</v>
      </c>
      <c r="B2101" t="s">
        <v>7722</v>
      </c>
      <c r="C2101" t="str">
        <f>"7532"</f>
        <v>7532</v>
      </c>
      <c r="D2101" t="str">
        <f>"5"</f>
        <v>5</v>
      </c>
      <c r="E2101" t="s">
        <v>7723</v>
      </c>
      <c r="F2101" t="s">
        <v>40</v>
      </c>
      <c r="G2101" t="s">
        <v>7724</v>
      </c>
      <c r="H2101" t="s">
        <v>17</v>
      </c>
      <c r="I2101" t="s">
        <v>18</v>
      </c>
      <c r="J2101" t="str">
        <f>"5144311740"</f>
        <v>5144311740</v>
      </c>
      <c r="K2101" t="s">
        <v>7725</v>
      </c>
      <c r="L2101" t="s">
        <v>27</v>
      </c>
      <c r="M2101" t="s">
        <v>21</v>
      </c>
    </row>
    <row r="2102" spans="1:13" x14ac:dyDescent="0.35">
      <c r="A2102" t="str">
        <f>"244-0863"</f>
        <v>244-0863</v>
      </c>
      <c r="B2102" t="s">
        <v>7726</v>
      </c>
      <c r="C2102" t="str">
        <f>"717"</f>
        <v>717</v>
      </c>
      <c r="D2102" t="str">
        <f>"120"</f>
        <v>120</v>
      </c>
      <c r="E2102" t="s">
        <v>7727</v>
      </c>
      <c r="F2102" t="s">
        <v>24</v>
      </c>
      <c r="G2102" t="s">
        <v>7728</v>
      </c>
      <c r="H2102" t="s">
        <v>17</v>
      </c>
      <c r="I2102" t="s">
        <v>18</v>
      </c>
      <c r="J2102" t="str">
        <f>"4384587987"</f>
        <v>4384587987</v>
      </c>
      <c r="K2102" t="s">
        <v>7729</v>
      </c>
      <c r="L2102" t="s">
        <v>86</v>
      </c>
      <c r="M2102" t="s">
        <v>21</v>
      </c>
    </row>
    <row r="2103" spans="1:13" x14ac:dyDescent="0.35">
      <c r="A2103" t="str">
        <f>"244-2628"</f>
        <v>244-2628</v>
      </c>
      <c r="B2103" t="s">
        <v>7730</v>
      </c>
      <c r="C2103" t="str">
        <f>"9105"</f>
        <v>9105</v>
      </c>
      <c r="E2103" t="s">
        <v>818</v>
      </c>
      <c r="F2103" t="s">
        <v>24</v>
      </c>
      <c r="G2103" t="s">
        <v>7731</v>
      </c>
      <c r="H2103" t="s">
        <v>17</v>
      </c>
      <c r="I2103" t="s">
        <v>18</v>
      </c>
      <c r="J2103" t="str">
        <f>"4388749211"</f>
        <v>4388749211</v>
      </c>
      <c r="K2103" t="s">
        <v>7732</v>
      </c>
      <c r="L2103" t="s">
        <v>86</v>
      </c>
      <c r="M2103" t="s">
        <v>21</v>
      </c>
    </row>
    <row r="2104" spans="1:13" x14ac:dyDescent="0.35">
      <c r="A2104" t="str">
        <f>"247-9948"</f>
        <v>247-9948</v>
      </c>
      <c r="B2104" t="s">
        <v>7733</v>
      </c>
      <c r="C2104" t="str">
        <f>"8"</f>
        <v>8</v>
      </c>
      <c r="E2104" t="s">
        <v>7734</v>
      </c>
      <c r="F2104" t="s">
        <v>7735</v>
      </c>
      <c r="G2104" t="s">
        <v>7736</v>
      </c>
      <c r="H2104" t="s">
        <v>17</v>
      </c>
      <c r="I2104" t="s">
        <v>18</v>
      </c>
      <c r="J2104" t="str">
        <f>"5147918047"</f>
        <v>5147918047</v>
      </c>
      <c r="K2104" t="s">
        <v>7737</v>
      </c>
      <c r="L2104" t="s">
        <v>396</v>
      </c>
      <c r="M2104" t="s">
        <v>21</v>
      </c>
    </row>
    <row r="2105" spans="1:13" x14ac:dyDescent="0.35">
      <c r="A2105" t="str">
        <f>"248-0184"</f>
        <v>248-0184</v>
      </c>
      <c r="B2105" t="s">
        <v>7738</v>
      </c>
      <c r="C2105" t="str">
        <f>"9114"</f>
        <v>9114</v>
      </c>
      <c r="E2105" t="s">
        <v>7739</v>
      </c>
      <c r="F2105" t="s">
        <v>24</v>
      </c>
      <c r="G2105" t="s">
        <v>7740</v>
      </c>
      <c r="H2105" t="s">
        <v>17</v>
      </c>
      <c r="I2105" t="s">
        <v>18</v>
      </c>
      <c r="J2105" t="str">
        <f>"4389290642"</f>
        <v>4389290642</v>
      </c>
      <c r="K2105" t="s">
        <v>7741</v>
      </c>
      <c r="L2105" t="s">
        <v>86</v>
      </c>
      <c r="M2105" t="s">
        <v>21</v>
      </c>
    </row>
    <row r="2106" spans="1:13" x14ac:dyDescent="0.35">
      <c r="A2106" t="str">
        <f>"248-0463"</f>
        <v>248-0463</v>
      </c>
      <c r="B2106" t="s">
        <v>7742</v>
      </c>
      <c r="C2106" t="str">
        <f>"4255"</f>
        <v>4255</v>
      </c>
      <c r="E2106" t="s">
        <v>7743</v>
      </c>
      <c r="F2106" t="s">
        <v>24</v>
      </c>
      <c r="G2106" t="s">
        <v>7744</v>
      </c>
      <c r="H2106" t="s">
        <v>17</v>
      </c>
      <c r="I2106" t="s">
        <v>18</v>
      </c>
      <c r="J2106" t="str">
        <f>"5142507842"</f>
        <v>5142507842</v>
      </c>
      <c r="K2106" t="s">
        <v>7745</v>
      </c>
      <c r="L2106" t="s">
        <v>383</v>
      </c>
      <c r="M2106" t="s">
        <v>21</v>
      </c>
    </row>
    <row r="2107" spans="1:13" x14ac:dyDescent="0.35">
      <c r="A2107" t="str">
        <f>"611-3864"</f>
        <v>611-3864</v>
      </c>
      <c r="B2107" t="s">
        <v>7746</v>
      </c>
      <c r="C2107" t="str">
        <f>"5285"</f>
        <v>5285</v>
      </c>
      <c r="D2107" t="str">
        <f>"103"</f>
        <v>103</v>
      </c>
      <c r="E2107" t="s">
        <v>5223</v>
      </c>
      <c r="F2107" t="s">
        <v>24</v>
      </c>
      <c r="G2107" t="s">
        <v>7747</v>
      </c>
      <c r="H2107" t="s">
        <v>17</v>
      </c>
      <c r="I2107" t="s">
        <v>18</v>
      </c>
      <c r="J2107" t="str">
        <f>"4387658830"</f>
        <v>4387658830</v>
      </c>
      <c r="K2107" t="s">
        <v>7748</v>
      </c>
      <c r="L2107" t="s">
        <v>86</v>
      </c>
      <c r="M2107" t="s">
        <v>21</v>
      </c>
    </row>
    <row r="2108" spans="1:13" x14ac:dyDescent="0.35">
      <c r="A2108" t="str">
        <f>"630-1289"</f>
        <v>630-1289</v>
      </c>
      <c r="B2108" t="s">
        <v>7749</v>
      </c>
      <c r="C2108" t="str">
        <f>"2619"</f>
        <v>2619</v>
      </c>
      <c r="E2108" t="s">
        <v>7750</v>
      </c>
      <c r="F2108" t="s">
        <v>24</v>
      </c>
      <c r="G2108" t="s">
        <v>7751</v>
      </c>
      <c r="H2108" t="s">
        <v>17</v>
      </c>
      <c r="I2108" t="s">
        <v>18</v>
      </c>
      <c r="J2108" t="str">
        <f>"5145596079"</f>
        <v>5145596079</v>
      </c>
      <c r="K2108" t="s">
        <v>7752</v>
      </c>
      <c r="L2108" t="s">
        <v>39</v>
      </c>
      <c r="M2108" t="s">
        <v>21</v>
      </c>
    </row>
    <row r="2109" spans="1:13" x14ac:dyDescent="0.35">
      <c r="A2109" t="str">
        <f>"630-1424"</f>
        <v>630-1424</v>
      </c>
      <c r="B2109" t="s">
        <v>7753</v>
      </c>
      <c r="C2109" t="str">
        <f>"6109"</f>
        <v>6109</v>
      </c>
      <c r="E2109" t="s">
        <v>7754</v>
      </c>
      <c r="F2109" t="s">
        <v>24</v>
      </c>
      <c r="G2109" t="s">
        <v>7755</v>
      </c>
      <c r="H2109" t="s">
        <v>17</v>
      </c>
      <c r="I2109" t="s">
        <v>18</v>
      </c>
      <c r="J2109" t="str">
        <f>"4384834113"</f>
        <v>4384834113</v>
      </c>
      <c r="K2109" t="s">
        <v>7756</v>
      </c>
      <c r="L2109" t="s">
        <v>86</v>
      </c>
      <c r="M2109" t="s">
        <v>21</v>
      </c>
    </row>
    <row r="2110" spans="1:13" x14ac:dyDescent="0.35">
      <c r="A2110" t="str">
        <f>"630-1754"</f>
        <v>630-1754</v>
      </c>
      <c r="B2110" t="s">
        <v>7757</v>
      </c>
      <c r="C2110" t="str">
        <f>"70"</f>
        <v>70</v>
      </c>
      <c r="D2110" t="str">
        <f>"70"</f>
        <v>70</v>
      </c>
      <c r="E2110" t="s">
        <v>1720</v>
      </c>
      <c r="F2110" t="s">
        <v>6166</v>
      </c>
      <c r="G2110" t="s">
        <v>7758</v>
      </c>
      <c r="H2110" t="s">
        <v>17</v>
      </c>
      <c r="I2110" t="s">
        <v>18</v>
      </c>
      <c r="J2110" t="str">
        <f>"4384394733"</f>
        <v>4384394733</v>
      </c>
      <c r="K2110" t="s">
        <v>7759</v>
      </c>
      <c r="L2110" t="s">
        <v>20</v>
      </c>
      <c r="M2110" t="s">
        <v>21</v>
      </c>
    </row>
    <row r="2111" spans="1:13" x14ac:dyDescent="0.35">
      <c r="A2111" t="str">
        <f>"631-0588"</f>
        <v>631-0588</v>
      </c>
      <c r="B2111" t="s">
        <v>7760</v>
      </c>
      <c r="C2111" t="str">
        <f>"5777"</f>
        <v>5777</v>
      </c>
      <c r="D2111" t="str">
        <f>"5777"</f>
        <v>5777</v>
      </c>
      <c r="E2111" t="s">
        <v>7761</v>
      </c>
      <c r="F2111" t="s">
        <v>2880</v>
      </c>
      <c r="G2111" t="s">
        <v>7762</v>
      </c>
      <c r="H2111" t="s">
        <v>17</v>
      </c>
      <c r="I2111" t="s">
        <v>18</v>
      </c>
      <c r="J2111" t="str">
        <f>"5145187550"</f>
        <v>5145187550</v>
      </c>
      <c r="K2111" t="s">
        <v>7763</v>
      </c>
      <c r="L2111" t="s">
        <v>319</v>
      </c>
      <c r="M2111" t="s">
        <v>21</v>
      </c>
    </row>
    <row r="2112" spans="1:13" x14ac:dyDescent="0.35">
      <c r="A2112" t="str">
        <f>"631-0949"</f>
        <v>631-0949</v>
      </c>
      <c r="B2112" t="s">
        <v>7764</v>
      </c>
      <c r="C2112" t="str">
        <f>"9154"</f>
        <v>9154</v>
      </c>
      <c r="E2112" t="s">
        <v>2313</v>
      </c>
      <c r="F2112" t="s">
        <v>24</v>
      </c>
      <c r="G2112" t="s">
        <v>7765</v>
      </c>
      <c r="H2112" t="s">
        <v>17</v>
      </c>
      <c r="I2112" t="s">
        <v>18</v>
      </c>
      <c r="J2112" t="str">
        <f>"5144648693"</f>
        <v>5144648693</v>
      </c>
      <c r="K2112" t="s">
        <v>7766</v>
      </c>
      <c r="L2112" t="s">
        <v>29</v>
      </c>
      <c r="M2112" t="s">
        <v>21</v>
      </c>
    </row>
    <row r="2113" spans="1:13" x14ac:dyDescent="0.35">
      <c r="A2113" t="str">
        <f>"631-1612"</f>
        <v>631-1612</v>
      </c>
      <c r="B2113" t="s">
        <v>7767</v>
      </c>
      <c r="C2113" t="str">
        <f>"6720"</f>
        <v>6720</v>
      </c>
      <c r="D2113" t="str">
        <f>"12"</f>
        <v>12</v>
      </c>
      <c r="E2113" t="s">
        <v>67</v>
      </c>
      <c r="F2113" t="s">
        <v>24</v>
      </c>
      <c r="G2113" t="s">
        <v>7768</v>
      </c>
      <c r="H2113" t="s">
        <v>17</v>
      </c>
      <c r="I2113" t="s">
        <v>18</v>
      </c>
      <c r="J2113" t="str">
        <f>"4386867622"</f>
        <v>4386867622</v>
      </c>
      <c r="K2113" t="s">
        <v>7769</v>
      </c>
      <c r="L2113" t="s">
        <v>86</v>
      </c>
      <c r="M2113" t="s">
        <v>21</v>
      </c>
    </row>
    <row r="2114" spans="1:13" x14ac:dyDescent="0.35">
      <c r="A2114" t="str">
        <f>"631-1750"</f>
        <v>631-1750</v>
      </c>
      <c r="B2114" t="s">
        <v>7770</v>
      </c>
      <c r="C2114" t="str">
        <f>"6220"</f>
        <v>6220</v>
      </c>
      <c r="E2114" t="s">
        <v>830</v>
      </c>
      <c r="F2114" t="s">
        <v>24</v>
      </c>
      <c r="G2114" t="s">
        <v>7419</v>
      </c>
      <c r="H2114" t="s">
        <v>17</v>
      </c>
      <c r="I2114" t="s">
        <v>18</v>
      </c>
      <c r="J2114" t="str">
        <f>"4383988973"</f>
        <v>4383988973</v>
      </c>
      <c r="K2114" t="s">
        <v>7771</v>
      </c>
      <c r="L2114" t="s">
        <v>86</v>
      </c>
      <c r="M2114" t="s">
        <v>21</v>
      </c>
    </row>
    <row r="2115" spans="1:13" x14ac:dyDescent="0.35">
      <c r="A2115" t="str">
        <f>"631-2300"</f>
        <v>631-2300</v>
      </c>
      <c r="B2115" t="s">
        <v>7772</v>
      </c>
      <c r="C2115" t="str">
        <f>"5601"</f>
        <v>5601</v>
      </c>
      <c r="D2115" t="str">
        <f>"301"</f>
        <v>301</v>
      </c>
      <c r="E2115" t="s">
        <v>125</v>
      </c>
      <c r="F2115" t="s">
        <v>24</v>
      </c>
      <c r="G2115" t="s">
        <v>3153</v>
      </c>
      <c r="H2115" t="s">
        <v>17</v>
      </c>
      <c r="I2115" t="s">
        <v>18</v>
      </c>
      <c r="J2115" t="str">
        <f>"5147469826"</f>
        <v>5147469826</v>
      </c>
      <c r="K2115" t="s">
        <v>7773</v>
      </c>
      <c r="L2115" t="s">
        <v>86</v>
      </c>
      <c r="M2115" t="s">
        <v>21</v>
      </c>
    </row>
    <row r="2116" spans="1:13" x14ac:dyDescent="0.35">
      <c r="A2116" t="str">
        <f>"631-2539"</f>
        <v>631-2539</v>
      </c>
      <c r="B2116" t="s">
        <v>7774</v>
      </c>
      <c r="C2116" t="str">
        <f>"1760"</f>
        <v>1760</v>
      </c>
      <c r="E2116" t="s">
        <v>7775</v>
      </c>
      <c r="F2116" t="s">
        <v>157</v>
      </c>
      <c r="G2116" t="s">
        <v>6635</v>
      </c>
      <c r="H2116" t="s">
        <v>17</v>
      </c>
      <c r="I2116" t="s">
        <v>18</v>
      </c>
      <c r="J2116" t="str">
        <f>"4385082225"</f>
        <v>4385082225</v>
      </c>
      <c r="K2116" t="s">
        <v>7776</v>
      </c>
      <c r="L2116" t="s">
        <v>869</v>
      </c>
      <c r="M2116" t="s">
        <v>21</v>
      </c>
    </row>
    <row r="2117" spans="1:13" x14ac:dyDescent="0.35">
      <c r="A2117" t="str">
        <f>"063-0527"</f>
        <v>063-0527</v>
      </c>
      <c r="B2117" t="s">
        <v>7777</v>
      </c>
      <c r="C2117" t="str">
        <f>"5055"</f>
        <v>5055</v>
      </c>
      <c r="D2117" t="str">
        <f>"3"</f>
        <v>3</v>
      </c>
      <c r="E2117" t="s">
        <v>7778</v>
      </c>
      <c r="F2117" t="s">
        <v>24</v>
      </c>
      <c r="G2117" t="s">
        <v>7779</v>
      </c>
      <c r="H2117" t="s">
        <v>17</v>
      </c>
      <c r="I2117" t="s">
        <v>18</v>
      </c>
      <c r="J2117" t="str">
        <f>"4503659179"</f>
        <v>4503659179</v>
      </c>
      <c r="K2117" t="s">
        <v>7780</v>
      </c>
      <c r="L2117" t="s">
        <v>20</v>
      </c>
      <c r="M2117" t="s">
        <v>21</v>
      </c>
    </row>
    <row r="2118" spans="1:13" x14ac:dyDescent="0.35">
      <c r="A2118" t="str">
        <f>"081-8201"</f>
        <v>081-8201</v>
      </c>
      <c r="B2118" t="s">
        <v>7781</v>
      </c>
      <c r="C2118" t="str">
        <f>"2080"</f>
        <v>2080</v>
      </c>
      <c r="D2118" t="str">
        <f>"2"</f>
        <v>2</v>
      </c>
      <c r="E2118" t="s">
        <v>7782</v>
      </c>
      <c r="F2118" t="s">
        <v>24</v>
      </c>
      <c r="G2118" t="s">
        <v>7783</v>
      </c>
      <c r="H2118" t="s">
        <v>17</v>
      </c>
      <c r="I2118" t="s">
        <v>18</v>
      </c>
      <c r="J2118" t="str">
        <f>"5144581090"</f>
        <v>5144581090</v>
      </c>
      <c r="K2118" t="s">
        <v>7784</v>
      </c>
      <c r="L2118" t="s">
        <v>20</v>
      </c>
      <c r="M2118" t="s">
        <v>21</v>
      </c>
    </row>
    <row r="2119" spans="1:13" x14ac:dyDescent="0.35">
      <c r="A2119" t="str">
        <f>"082-7269"</f>
        <v>082-7269</v>
      </c>
      <c r="B2119" t="s">
        <v>7785</v>
      </c>
      <c r="C2119" t="str">
        <f>"8251"</f>
        <v>8251</v>
      </c>
      <c r="D2119" t="str">
        <f>"305"</f>
        <v>305</v>
      </c>
      <c r="E2119" t="s">
        <v>7786</v>
      </c>
      <c r="F2119" t="s">
        <v>656</v>
      </c>
      <c r="G2119" t="s">
        <v>7787</v>
      </c>
      <c r="H2119" t="s">
        <v>17</v>
      </c>
      <c r="I2119" t="s">
        <v>18</v>
      </c>
      <c r="J2119" t="str">
        <f>"5144755280"</f>
        <v>5144755280</v>
      </c>
      <c r="K2119" t="s">
        <v>7788</v>
      </c>
      <c r="L2119" t="s">
        <v>39</v>
      </c>
      <c r="M2119" t="s">
        <v>21</v>
      </c>
    </row>
    <row r="2120" spans="1:13" x14ac:dyDescent="0.35">
      <c r="A2120" t="str">
        <f>"084-5180"</f>
        <v>084-5180</v>
      </c>
      <c r="B2120" t="s">
        <v>7789</v>
      </c>
      <c r="C2120" t="str">
        <f>"5624"</f>
        <v>5624</v>
      </c>
      <c r="E2120" t="s">
        <v>7790</v>
      </c>
      <c r="F2120" t="s">
        <v>24</v>
      </c>
      <c r="G2120" t="s">
        <v>7791</v>
      </c>
      <c r="H2120" t="s">
        <v>17</v>
      </c>
      <c r="I2120" t="s">
        <v>18</v>
      </c>
      <c r="J2120" t="str">
        <f>"5145188762"</f>
        <v>5145188762</v>
      </c>
      <c r="K2120" t="s">
        <v>7792</v>
      </c>
      <c r="L2120" t="s">
        <v>20</v>
      </c>
      <c r="M2120" t="s">
        <v>21</v>
      </c>
    </row>
    <row r="2121" spans="1:13" x14ac:dyDescent="0.35">
      <c r="A2121" t="str">
        <f>"134-2813"</f>
        <v>134-2813</v>
      </c>
      <c r="B2121" t="s">
        <v>7793</v>
      </c>
      <c r="C2121" t="str">
        <f>"5599"</f>
        <v>5599</v>
      </c>
      <c r="D2121" t="str">
        <f>"2"</f>
        <v>2</v>
      </c>
      <c r="E2121" t="s">
        <v>1461</v>
      </c>
      <c r="F2121" t="s">
        <v>24</v>
      </c>
      <c r="G2121" t="s">
        <v>7794</v>
      </c>
      <c r="H2121" t="s">
        <v>17</v>
      </c>
      <c r="I2121" t="s">
        <v>18</v>
      </c>
      <c r="J2121" t="str">
        <f>"4188516616"</f>
        <v>4188516616</v>
      </c>
      <c r="K2121" t="s">
        <v>7795</v>
      </c>
      <c r="L2121" t="s">
        <v>20</v>
      </c>
      <c r="M2121" t="s">
        <v>21</v>
      </c>
    </row>
    <row r="2122" spans="1:13" x14ac:dyDescent="0.35">
      <c r="A2122" t="str">
        <f>"136-4947"</f>
        <v>136-4947</v>
      </c>
      <c r="B2122" t="s">
        <v>7796</v>
      </c>
      <c r="C2122" t="str">
        <f>"63"</f>
        <v>63</v>
      </c>
      <c r="D2122" t="str">
        <f>"106"</f>
        <v>106</v>
      </c>
      <c r="E2122" t="s">
        <v>7797</v>
      </c>
      <c r="F2122" t="s">
        <v>1022</v>
      </c>
      <c r="G2122" t="s">
        <v>7798</v>
      </c>
      <c r="H2122" t="s">
        <v>17</v>
      </c>
      <c r="I2122" t="s">
        <v>18</v>
      </c>
      <c r="J2122" t="str">
        <f>"5148622455"</f>
        <v>5148622455</v>
      </c>
      <c r="K2122" t="s">
        <v>7799</v>
      </c>
      <c r="L2122" t="s">
        <v>103</v>
      </c>
      <c r="M2122" t="s">
        <v>21</v>
      </c>
    </row>
    <row r="2123" spans="1:13" x14ac:dyDescent="0.35">
      <c r="A2123" t="str">
        <f>"632-6122"</f>
        <v>632-6122</v>
      </c>
      <c r="B2123" t="s">
        <v>7800</v>
      </c>
      <c r="C2123" t="str">
        <f>"8339"</f>
        <v>8339</v>
      </c>
      <c r="E2123" t="s">
        <v>2129</v>
      </c>
      <c r="F2123" t="s">
        <v>24</v>
      </c>
      <c r="G2123" t="s">
        <v>7801</v>
      </c>
      <c r="H2123" t="s">
        <v>17</v>
      </c>
      <c r="I2123" t="s">
        <v>18</v>
      </c>
      <c r="J2123" t="str">
        <f>"4388708229"</f>
        <v>4388708229</v>
      </c>
      <c r="K2123" t="s">
        <v>7802</v>
      </c>
      <c r="L2123" t="s">
        <v>86</v>
      </c>
      <c r="M2123" t="s">
        <v>21</v>
      </c>
    </row>
    <row r="2124" spans="1:13" x14ac:dyDescent="0.35">
      <c r="A2124" t="str">
        <f>"632-6297"</f>
        <v>632-6297</v>
      </c>
      <c r="B2124" t="s">
        <v>7803</v>
      </c>
      <c r="C2124" t="str">
        <f>"3643"</f>
        <v>3643</v>
      </c>
      <c r="E2124" t="s">
        <v>7804</v>
      </c>
      <c r="F2124" t="s">
        <v>24</v>
      </c>
      <c r="G2124" t="s">
        <v>7805</v>
      </c>
      <c r="H2124" t="s">
        <v>17</v>
      </c>
      <c r="I2124" t="s">
        <v>18</v>
      </c>
      <c r="J2124" t="str">
        <f>"4388847681"</f>
        <v>4388847681</v>
      </c>
      <c r="K2124" t="s">
        <v>7806</v>
      </c>
      <c r="L2124" t="s">
        <v>383</v>
      </c>
      <c r="M2124" t="s">
        <v>21</v>
      </c>
    </row>
    <row r="2125" spans="1:13" x14ac:dyDescent="0.35">
      <c r="A2125" t="str">
        <f>"632-6577"</f>
        <v>632-6577</v>
      </c>
      <c r="B2125" t="s">
        <v>7807</v>
      </c>
      <c r="C2125" t="str">
        <f>"2911"</f>
        <v>2911</v>
      </c>
      <c r="E2125" t="s">
        <v>7808</v>
      </c>
      <c r="F2125" t="s">
        <v>24</v>
      </c>
      <c r="G2125" t="s">
        <v>7809</v>
      </c>
      <c r="H2125" t="s">
        <v>17</v>
      </c>
      <c r="I2125" t="s">
        <v>18</v>
      </c>
      <c r="J2125" t="str">
        <f>"5149923008"</f>
        <v>5149923008</v>
      </c>
      <c r="K2125" t="s">
        <v>7810</v>
      </c>
      <c r="L2125" t="s">
        <v>396</v>
      </c>
      <c r="M2125" t="s">
        <v>21</v>
      </c>
    </row>
    <row r="2126" spans="1:13" x14ac:dyDescent="0.35">
      <c r="A2126" t="str">
        <f>"632-8861"</f>
        <v>632-8861</v>
      </c>
      <c r="B2126" t="s">
        <v>7811</v>
      </c>
      <c r="C2126" t="str">
        <f>"7105"</f>
        <v>7105</v>
      </c>
      <c r="D2126" t="str">
        <f>"15"</f>
        <v>15</v>
      </c>
      <c r="E2126" t="s">
        <v>597</v>
      </c>
      <c r="F2126" t="s">
        <v>24</v>
      </c>
      <c r="G2126" t="s">
        <v>7812</v>
      </c>
      <c r="H2126" t="s">
        <v>17</v>
      </c>
      <c r="I2126" t="s">
        <v>18</v>
      </c>
      <c r="J2126" t="str">
        <f>"2632883019"</f>
        <v>2632883019</v>
      </c>
      <c r="K2126" t="s">
        <v>7813</v>
      </c>
      <c r="L2126" t="s">
        <v>86</v>
      </c>
      <c r="M2126" t="s">
        <v>21</v>
      </c>
    </row>
    <row r="2127" spans="1:13" x14ac:dyDescent="0.35">
      <c r="A2127" t="str">
        <f>"175-5178"</f>
        <v>175-5178</v>
      </c>
      <c r="B2127" t="s">
        <v>7814</v>
      </c>
      <c r="C2127" t="str">
        <f>"5"</f>
        <v>5</v>
      </c>
      <c r="E2127" t="s">
        <v>7815</v>
      </c>
      <c r="F2127" t="s">
        <v>7816</v>
      </c>
      <c r="G2127" t="s">
        <v>2469</v>
      </c>
      <c r="H2127" t="s">
        <v>17</v>
      </c>
      <c r="I2127" t="s">
        <v>18</v>
      </c>
      <c r="J2127" t="str">
        <f>"4502719194"</f>
        <v>4502719194</v>
      </c>
      <c r="K2127" t="s">
        <v>7817</v>
      </c>
      <c r="L2127" t="s">
        <v>29</v>
      </c>
      <c r="M2127" t="s">
        <v>21</v>
      </c>
    </row>
    <row r="2128" spans="1:13" x14ac:dyDescent="0.35">
      <c r="A2128" t="str">
        <f>"176-9688"</f>
        <v>176-9688</v>
      </c>
      <c r="B2128" t="s">
        <v>7818</v>
      </c>
      <c r="C2128" t="str">
        <f>"3559"</f>
        <v>3559</v>
      </c>
      <c r="E2128" t="s">
        <v>7819</v>
      </c>
      <c r="F2128" t="s">
        <v>24</v>
      </c>
      <c r="G2128" t="s">
        <v>7820</v>
      </c>
      <c r="H2128" t="s">
        <v>17</v>
      </c>
      <c r="I2128" t="s">
        <v>18</v>
      </c>
      <c r="J2128" t="str">
        <f>"4383981200"</f>
        <v>4383981200</v>
      </c>
      <c r="K2128" t="s">
        <v>7821</v>
      </c>
      <c r="L2128" t="s">
        <v>168</v>
      </c>
      <c r="M2128" t="s">
        <v>21</v>
      </c>
    </row>
    <row r="2129" spans="1:13" x14ac:dyDescent="0.35">
      <c r="A2129" t="str">
        <f>"203-9704"</f>
        <v>203-9704</v>
      </c>
      <c r="B2129" t="s">
        <v>7822</v>
      </c>
      <c r="C2129" t="str">
        <f>"802"</f>
        <v>802</v>
      </c>
      <c r="E2129" t="s">
        <v>688</v>
      </c>
      <c r="F2129" t="s">
        <v>7823</v>
      </c>
      <c r="G2129" t="s">
        <v>7824</v>
      </c>
      <c r="H2129" t="s">
        <v>17</v>
      </c>
      <c r="I2129" t="s">
        <v>18</v>
      </c>
      <c r="J2129" t="str">
        <f>"4508263908"</f>
        <v>4508263908</v>
      </c>
      <c r="K2129" t="s">
        <v>7825</v>
      </c>
      <c r="L2129" t="s">
        <v>29</v>
      </c>
      <c r="M2129" t="s">
        <v>21</v>
      </c>
    </row>
    <row r="2130" spans="1:13" x14ac:dyDescent="0.35">
      <c r="A2130" t="str">
        <f>"204-1152"</f>
        <v>204-1152</v>
      </c>
      <c r="B2130" t="s">
        <v>7826</v>
      </c>
      <c r="C2130" t="str">
        <f>"8456"</f>
        <v>8456</v>
      </c>
      <c r="E2130" t="s">
        <v>7827</v>
      </c>
      <c r="F2130" t="s">
        <v>24</v>
      </c>
      <c r="G2130" t="s">
        <v>7828</v>
      </c>
      <c r="H2130" t="s">
        <v>17</v>
      </c>
      <c r="I2130" t="s">
        <v>18</v>
      </c>
      <c r="J2130" t="str">
        <f>"5142483192"</f>
        <v>5142483192</v>
      </c>
      <c r="K2130" t="s">
        <v>7829</v>
      </c>
      <c r="L2130" t="s">
        <v>220</v>
      </c>
      <c r="M2130" t="s">
        <v>21</v>
      </c>
    </row>
    <row r="2131" spans="1:13" x14ac:dyDescent="0.35">
      <c r="A2131" t="str">
        <f>"215-2162"</f>
        <v>215-2162</v>
      </c>
      <c r="B2131" t="s">
        <v>7830</v>
      </c>
      <c r="C2131" t="str">
        <f>"140"</f>
        <v>140</v>
      </c>
      <c r="D2131" t="str">
        <f>"A"</f>
        <v>A</v>
      </c>
      <c r="E2131" t="s">
        <v>7831</v>
      </c>
      <c r="F2131" t="s">
        <v>24</v>
      </c>
      <c r="G2131" t="s">
        <v>7832</v>
      </c>
      <c r="H2131" t="s">
        <v>17</v>
      </c>
      <c r="I2131" t="s">
        <v>18</v>
      </c>
      <c r="J2131" t="str">
        <f>"5147260935"</f>
        <v>5147260935</v>
      </c>
      <c r="K2131" t="s">
        <v>7833</v>
      </c>
      <c r="L2131" t="s">
        <v>869</v>
      </c>
      <c r="M2131" t="s">
        <v>21</v>
      </c>
    </row>
    <row r="2132" spans="1:13" x14ac:dyDescent="0.35">
      <c r="A2132" t="str">
        <f>"215-7856"</f>
        <v>215-7856</v>
      </c>
      <c r="B2132" t="s">
        <v>7834</v>
      </c>
      <c r="C2132" t="str">
        <f>"173"</f>
        <v>173</v>
      </c>
      <c r="E2132" t="s">
        <v>7835</v>
      </c>
      <c r="F2132" t="s">
        <v>24</v>
      </c>
      <c r="G2132" t="s">
        <v>7836</v>
      </c>
      <c r="H2132" t="s">
        <v>17</v>
      </c>
      <c r="I2132" t="s">
        <v>18</v>
      </c>
      <c r="J2132" t="str">
        <f>"5143186587"</f>
        <v>5143186587</v>
      </c>
      <c r="K2132" t="s">
        <v>7837</v>
      </c>
      <c r="L2132" t="s">
        <v>27</v>
      </c>
      <c r="M2132" t="s">
        <v>21</v>
      </c>
    </row>
    <row r="2133" spans="1:13" x14ac:dyDescent="0.35">
      <c r="A2133" t="str">
        <f>"246-4950"</f>
        <v>246-4950</v>
      </c>
      <c r="B2133" t="s">
        <v>7838</v>
      </c>
      <c r="C2133" t="str">
        <f>"222"</f>
        <v>222</v>
      </c>
      <c r="E2133" t="s">
        <v>7839</v>
      </c>
      <c r="F2133" t="s">
        <v>6856</v>
      </c>
      <c r="G2133" t="s">
        <v>7840</v>
      </c>
      <c r="H2133" t="s">
        <v>17</v>
      </c>
      <c r="I2133" t="s">
        <v>18</v>
      </c>
      <c r="J2133" t="str">
        <f>"4387252359"</f>
        <v>4387252359</v>
      </c>
      <c r="K2133" t="s">
        <v>7841</v>
      </c>
      <c r="L2133" t="s">
        <v>20</v>
      </c>
      <c r="M2133" t="s">
        <v>21</v>
      </c>
    </row>
    <row r="2134" spans="1:13" x14ac:dyDescent="0.35">
      <c r="A2134" t="str">
        <f>"246-9764"</f>
        <v>246-9764</v>
      </c>
      <c r="B2134" t="s">
        <v>7842</v>
      </c>
      <c r="C2134" t="str">
        <f>"7930"</f>
        <v>7930</v>
      </c>
      <c r="E2134" t="s">
        <v>7843</v>
      </c>
      <c r="F2134" t="s">
        <v>24</v>
      </c>
      <c r="G2134" t="s">
        <v>7844</v>
      </c>
      <c r="H2134" t="s">
        <v>17</v>
      </c>
      <c r="I2134" t="s">
        <v>18</v>
      </c>
      <c r="J2134" t="str">
        <f>"4388868684"</f>
        <v>4388868684</v>
      </c>
      <c r="K2134" t="s">
        <v>7845</v>
      </c>
      <c r="L2134" t="s">
        <v>305</v>
      </c>
      <c r="M2134" t="s">
        <v>21</v>
      </c>
    </row>
    <row r="2135" spans="1:13" x14ac:dyDescent="0.35">
      <c r="A2135" t="str">
        <f>"247-8296"</f>
        <v>247-8296</v>
      </c>
      <c r="B2135" t="s">
        <v>7846</v>
      </c>
      <c r="C2135" t="str">
        <f>"150"</f>
        <v>150</v>
      </c>
      <c r="E2135" t="s">
        <v>7847</v>
      </c>
      <c r="F2135" t="s">
        <v>682</v>
      </c>
      <c r="G2135" t="s">
        <v>7848</v>
      </c>
      <c r="H2135" t="s">
        <v>17</v>
      </c>
      <c r="I2135" t="s">
        <v>18</v>
      </c>
      <c r="J2135" t="str">
        <f>"4384046731"</f>
        <v>4384046731</v>
      </c>
      <c r="K2135" t="s">
        <v>7849</v>
      </c>
      <c r="L2135" t="s">
        <v>29</v>
      </c>
      <c r="M2135" t="s">
        <v>21</v>
      </c>
    </row>
    <row r="2136" spans="1:13" x14ac:dyDescent="0.35">
      <c r="A2136" t="str">
        <f>"218-4912"</f>
        <v>218-4912</v>
      </c>
      <c r="B2136" t="s">
        <v>7850</v>
      </c>
      <c r="C2136" t="str">
        <f>"12014"</f>
        <v>12014</v>
      </c>
      <c r="E2136" t="s">
        <v>1048</v>
      </c>
      <c r="F2136" t="s">
        <v>24</v>
      </c>
      <c r="G2136" t="s">
        <v>7851</v>
      </c>
      <c r="H2136" t="s">
        <v>17</v>
      </c>
      <c r="I2136" t="s">
        <v>18</v>
      </c>
      <c r="J2136" t="str">
        <f>"5143372684"</f>
        <v>5143372684</v>
      </c>
      <c r="K2136" t="s">
        <v>7852</v>
      </c>
      <c r="L2136" t="s">
        <v>350</v>
      </c>
      <c r="M2136" t="s">
        <v>21</v>
      </c>
    </row>
    <row r="2137" spans="1:13" x14ac:dyDescent="0.35">
      <c r="A2137" t="str">
        <f>"218-8575"</f>
        <v>218-8575</v>
      </c>
      <c r="B2137" t="s">
        <v>7853</v>
      </c>
      <c r="C2137" t="str">
        <f>"1057"</f>
        <v>1057</v>
      </c>
      <c r="D2137" t="str">
        <f>"1057"</f>
        <v>1057</v>
      </c>
      <c r="E2137" t="s">
        <v>7854</v>
      </c>
      <c r="F2137" t="s">
        <v>54</v>
      </c>
      <c r="G2137" t="s">
        <v>7855</v>
      </c>
      <c r="H2137" t="s">
        <v>17</v>
      </c>
      <c r="I2137" t="s">
        <v>18</v>
      </c>
      <c r="J2137" t="str">
        <f>"5146493763"</f>
        <v>5146493763</v>
      </c>
      <c r="K2137" t="s">
        <v>7856</v>
      </c>
      <c r="L2137" t="s">
        <v>350</v>
      </c>
      <c r="M2137" t="s">
        <v>21</v>
      </c>
    </row>
    <row r="2138" spans="1:13" x14ac:dyDescent="0.35">
      <c r="A2138" t="str">
        <f>"227-0784"</f>
        <v>227-0784</v>
      </c>
      <c r="B2138" t="s">
        <v>7857</v>
      </c>
      <c r="C2138" t="str">
        <f>"9415"</f>
        <v>9415</v>
      </c>
      <c r="D2138" t="str">
        <f>"32"</f>
        <v>32</v>
      </c>
      <c r="E2138" t="s">
        <v>7858</v>
      </c>
      <c r="F2138" t="s">
        <v>24</v>
      </c>
      <c r="G2138" t="s">
        <v>7859</v>
      </c>
      <c r="H2138" t="s">
        <v>17</v>
      </c>
      <c r="I2138" t="s">
        <v>18</v>
      </c>
      <c r="J2138" t="str">
        <f>"5145861603"</f>
        <v>5145861603</v>
      </c>
      <c r="K2138" t="s">
        <v>7860</v>
      </c>
      <c r="L2138" t="s">
        <v>27</v>
      </c>
      <c r="M2138" t="s">
        <v>21</v>
      </c>
    </row>
    <row r="2139" spans="1:13" x14ac:dyDescent="0.35">
      <c r="A2139" t="str">
        <f>"227-1141"</f>
        <v>227-1141</v>
      </c>
      <c r="B2139" t="s">
        <v>7861</v>
      </c>
      <c r="C2139" t="str">
        <f>"320"</f>
        <v>320</v>
      </c>
      <c r="E2139" t="s">
        <v>7862</v>
      </c>
      <c r="F2139" t="s">
        <v>7863</v>
      </c>
      <c r="G2139" t="s">
        <v>7864</v>
      </c>
      <c r="H2139" t="s">
        <v>17</v>
      </c>
      <c r="I2139" t="s">
        <v>18</v>
      </c>
      <c r="J2139" t="str">
        <f>"5148509260"</f>
        <v>5148509260</v>
      </c>
      <c r="K2139" t="s">
        <v>7865</v>
      </c>
      <c r="L2139" t="s">
        <v>29</v>
      </c>
      <c r="M2139" t="s">
        <v>21</v>
      </c>
    </row>
    <row r="2140" spans="1:13" x14ac:dyDescent="0.35">
      <c r="A2140" t="str">
        <f>"227-2607"</f>
        <v>227-2607</v>
      </c>
      <c r="B2140" t="s">
        <v>7866</v>
      </c>
      <c r="C2140" t="str">
        <f>"11961"</f>
        <v>11961</v>
      </c>
      <c r="D2140" t="str">
        <f>"1"</f>
        <v>1</v>
      </c>
      <c r="E2140" t="s">
        <v>7867</v>
      </c>
      <c r="F2140" t="s">
        <v>24</v>
      </c>
      <c r="G2140" t="s">
        <v>7868</v>
      </c>
      <c r="H2140" t="s">
        <v>17</v>
      </c>
      <c r="I2140" t="s">
        <v>18</v>
      </c>
      <c r="J2140" t="str">
        <f>"4389941811"</f>
        <v>4389941811</v>
      </c>
      <c r="K2140" t="s">
        <v>7869</v>
      </c>
      <c r="L2140" t="s">
        <v>27</v>
      </c>
      <c r="M2140" t="s">
        <v>21</v>
      </c>
    </row>
    <row r="2141" spans="1:13" x14ac:dyDescent="0.35">
      <c r="A2141" t="str">
        <f>"227-5855"</f>
        <v>227-5855</v>
      </c>
      <c r="B2141" t="s">
        <v>7870</v>
      </c>
      <c r="C2141" t="str">
        <f>"7260"</f>
        <v>7260</v>
      </c>
      <c r="E2141" t="s">
        <v>67</v>
      </c>
      <c r="F2141" t="s">
        <v>24</v>
      </c>
      <c r="G2141" t="s">
        <v>7871</v>
      </c>
      <c r="H2141" t="s">
        <v>17</v>
      </c>
      <c r="I2141" t="s">
        <v>18</v>
      </c>
      <c r="J2141" t="str">
        <f>"4384931407"</f>
        <v>4384931407</v>
      </c>
      <c r="K2141" t="s">
        <v>7872</v>
      </c>
      <c r="L2141" t="s">
        <v>168</v>
      </c>
      <c r="M2141" t="s">
        <v>21</v>
      </c>
    </row>
    <row r="2142" spans="1:13" x14ac:dyDescent="0.35">
      <c r="A2142" t="str">
        <f>"246-3836"</f>
        <v>246-3836</v>
      </c>
      <c r="B2142" t="s">
        <v>7873</v>
      </c>
      <c r="C2142" t="str">
        <f>"7927"</f>
        <v>7927</v>
      </c>
      <c r="D2142" t="str">
        <f>"7927"</f>
        <v>7927</v>
      </c>
      <c r="E2142" t="s">
        <v>7874</v>
      </c>
      <c r="F2142" t="s">
        <v>24</v>
      </c>
      <c r="G2142" t="s">
        <v>7875</v>
      </c>
      <c r="H2142" t="s">
        <v>17</v>
      </c>
      <c r="I2142" t="s">
        <v>18</v>
      </c>
      <c r="J2142" t="str">
        <f>"5142066708"</f>
        <v>5142066708</v>
      </c>
      <c r="K2142" t="s">
        <v>7876</v>
      </c>
      <c r="L2142" t="s">
        <v>86</v>
      </c>
      <c r="M2142" t="s">
        <v>21</v>
      </c>
    </row>
    <row r="2143" spans="1:13" x14ac:dyDescent="0.35">
      <c r="A2143" t="str">
        <f>"246-3874"</f>
        <v>246-3874</v>
      </c>
      <c r="B2143" t="s">
        <v>7877</v>
      </c>
      <c r="C2143" t="str">
        <f>"3572"</f>
        <v>3572</v>
      </c>
      <c r="E2143" t="s">
        <v>1072</v>
      </c>
      <c r="F2143" t="s">
        <v>24</v>
      </c>
      <c r="G2143" t="s">
        <v>7878</v>
      </c>
      <c r="H2143" t="s">
        <v>17</v>
      </c>
      <c r="I2143" t="s">
        <v>18</v>
      </c>
      <c r="J2143" t="str">
        <f>"5145505602"</f>
        <v>5145505602</v>
      </c>
      <c r="K2143" t="s">
        <v>7879</v>
      </c>
      <c r="L2143" t="s">
        <v>220</v>
      </c>
      <c r="M2143" t="s">
        <v>21</v>
      </c>
    </row>
    <row r="2144" spans="1:13" x14ac:dyDescent="0.35">
      <c r="A2144" t="str">
        <f>"246-4315"</f>
        <v>246-4315</v>
      </c>
      <c r="B2144" t="s">
        <v>7880</v>
      </c>
      <c r="C2144" t="str">
        <f>"10370"</f>
        <v>10370</v>
      </c>
      <c r="E2144" t="s">
        <v>7881</v>
      </c>
      <c r="F2144" t="s">
        <v>24</v>
      </c>
      <c r="G2144" t="s">
        <v>7882</v>
      </c>
      <c r="H2144" t="s">
        <v>17</v>
      </c>
      <c r="I2144" t="s">
        <v>18</v>
      </c>
      <c r="J2144" t="str">
        <f>"5149673810"</f>
        <v>5149673810</v>
      </c>
      <c r="K2144" t="s">
        <v>7883</v>
      </c>
      <c r="L2144" t="s">
        <v>20</v>
      </c>
      <c r="M2144" t="s">
        <v>21</v>
      </c>
    </row>
    <row r="2145" spans="1:13" x14ac:dyDescent="0.35">
      <c r="A2145" t="str">
        <f>"246-5215"</f>
        <v>246-5215</v>
      </c>
      <c r="B2145" t="s">
        <v>7884</v>
      </c>
      <c r="C2145" t="str">
        <f>"602"</f>
        <v>602</v>
      </c>
      <c r="E2145" t="s">
        <v>7885</v>
      </c>
      <c r="F2145" t="s">
        <v>1721</v>
      </c>
      <c r="G2145" t="s">
        <v>7886</v>
      </c>
      <c r="H2145" t="s">
        <v>17</v>
      </c>
      <c r="I2145" t="s">
        <v>18</v>
      </c>
      <c r="J2145" t="str">
        <f>"4384070285"</f>
        <v>4384070285</v>
      </c>
      <c r="K2145" t="s">
        <v>7887</v>
      </c>
      <c r="L2145" t="s">
        <v>313</v>
      </c>
      <c r="M2145" t="s">
        <v>21</v>
      </c>
    </row>
    <row r="2146" spans="1:13" x14ac:dyDescent="0.35">
      <c r="A2146" t="str">
        <f>"247-2697"</f>
        <v>247-2697</v>
      </c>
      <c r="B2146" t="s">
        <v>7888</v>
      </c>
      <c r="C2146" t="str">
        <f>"10773"</f>
        <v>10773</v>
      </c>
      <c r="E2146" t="s">
        <v>3301</v>
      </c>
      <c r="F2146" t="s">
        <v>24</v>
      </c>
      <c r="G2146" t="s">
        <v>3302</v>
      </c>
      <c r="H2146" t="s">
        <v>17</v>
      </c>
      <c r="I2146" t="s">
        <v>18</v>
      </c>
      <c r="J2146" t="str">
        <f>"5146681742"</f>
        <v>5146681742</v>
      </c>
      <c r="K2146" t="s">
        <v>7889</v>
      </c>
      <c r="L2146" t="s">
        <v>198</v>
      </c>
      <c r="M2146" t="s">
        <v>21</v>
      </c>
    </row>
    <row r="2147" spans="1:13" x14ac:dyDescent="0.35">
      <c r="A2147" t="str">
        <f>"247-2717"</f>
        <v>247-2717</v>
      </c>
      <c r="B2147" t="s">
        <v>7890</v>
      </c>
      <c r="C2147" t="str">
        <f>"409"</f>
        <v>409</v>
      </c>
      <c r="E2147" t="s">
        <v>7891</v>
      </c>
      <c r="F2147" t="s">
        <v>2616</v>
      </c>
      <c r="G2147" t="s">
        <v>7892</v>
      </c>
      <c r="H2147" t="s">
        <v>17</v>
      </c>
      <c r="I2147" t="s">
        <v>18</v>
      </c>
      <c r="J2147" t="str">
        <f>"5819839344"</f>
        <v>5819839344</v>
      </c>
      <c r="K2147" t="s">
        <v>7893</v>
      </c>
      <c r="L2147" t="s">
        <v>20</v>
      </c>
      <c r="M2147" t="s">
        <v>21</v>
      </c>
    </row>
    <row r="2148" spans="1:13" x14ac:dyDescent="0.35">
      <c r="A2148" t="str">
        <f>"247-2868"</f>
        <v>247-2868</v>
      </c>
      <c r="B2148" t="s">
        <v>7894</v>
      </c>
      <c r="C2148" t="str">
        <f>"1300"</f>
        <v>1300</v>
      </c>
      <c r="D2148" t="str">
        <f>"3005"</f>
        <v>3005</v>
      </c>
      <c r="E2148" t="s">
        <v>615</v>
      </c>
      <c r="F2148" t="s">
        <v>24</v>
      </c>
      <c r="G2148" t="s">
        <v>7895</v>
      </c>
      <c r="H2148" t="s">
        <v>17</v>
      </c>
      <c r="I2148" t="s">
        <v>18</v>
      </c>
      <c r="J2148" t="str">
        <f>"4384961743"</f>
        <v>4384961743</v>
      </c>
      <c r="K2148" t="s">
        <v>7896</v>
      </c>
      <c r="L2148" t="s">
        <v>319</v>
      </c>
      <c r="M2148" t="s">
        <v>21</v>
      </c>
    </row>
    <row r="2149" spans="1:13" x14ac:dyDescent="0.35">
      <c r="A2149" t="str">
        <f>"247-3393"</f>
        <v>247-3393</v>
      </c>
      <c r="B2149" t="s">
        <v>7897</v>
      </c>
      <c r="C2149" t="str">
        <f>"42"</f>
        <v>42</v>
      </c>
      <c r="E2149" t="s">
        <v>7898</v>
      </c>
      <c r="F2149" t="s">
        <v>2148</v>
      </c>
      <c r="G2149" t="s">
        <v>7899</v>
      </c>
      <c r="H2149" t="s">
        <v>17</v>
      </c>
      <c r="I2149" t="s">
        <v>18</v>
      </c>
      <c r="J2149" t="str">
        <f>"4505232011"</f>
        <v>4505232011</v>
      </c>
      <c r="K2149" t="s">
        <v>7900</v>
      </c>
      <c r="L2149" t="s">
        <v>198</v>
      </c>
      <c r="M2149" t="s">
        <v>21</v>
      </c>
    </row>
    <row r="2150" spans="1:13" x14ac:dyDescent="0.35">
      <c r="A2150" t="str">
        <f>"247-3536"</f>
        <v>247-3536</v>
      </c>
      <c r="B2150" t="s">
        <v>7901</v>
      </c>
      <c r="C2150" t="str">
        <f>"2694"</f>
        <v>2694</v>
      </c>
      <c r="D2150" t="str">
        <f>"1"</f>
        <v>1</v>
      </c>
      <c r="E2150" t="s">
        <v>1780</v>
      </c>
      <c r="F2150" t="s">
        <v>24</v>
      </c>
      <c r="G2150" t="s">
        <v>7902</v>
      </c>
      <c r="H2150" t="s">
        <v>17</v>
      </c>
      <c r="I2150" t="s">
        <v>18</v>
      </c>
      <c r="J2150" t="str">
        <f>"4383686303"</f>
        <v>4383686303</v>
      </c>
      <c r="K2150" t="s">
        <v>7903</v>
      </c>
      <c r="L2150" t="s">
        <v>86</v>
      </c>
      <c r="M2150" t="s">
        <v>21</v>
      </c>
    </row>
    <row r="2151" spans="1:13" x14ac:dyDescent="0.35">
      <c r="A2151" t="str">
        <f>"248-8366"</f>
        <v>248-8366</v>
      </c>
      <c r="B2151" t="s">
        <v>7904</v>
      </c>
      <c r="C2151" t="str">
        <f>"10647"</f>
        <v>10647</v>
      </c>
      <c r="E2151" t="s">
        <v>1235</v>
      </c>
      <c r="F2151" t="s">
        <v>24</v>
      </c>
      <c r="G2151" t="s">
        <v>7905</v>
      </c>
      <c r="H2151" t="s">
        <v>17</v>
      </c>
      <c r="I2151" t="s">
        <v>18</v>
      </c>
      <c r="J2151" t="str">
        <f>"4387652427"</f>
        <v>4387652427</v>
      </c>
      <c r="K2151" t="s">
        <v>7906</v>
      </c>
      <c r="L2151" t="s">
        <v>20</v>
      </c>
      <c r="M2151" t="s">
        <v>21</v>
      </c>
    </row>
    <row r="2152" spans="1:13" x14ac:dyDescent="0.35">
      <c r="A2152" t="str">
        <f>"229-0856"</f>
        <v>229-0856</v>
      </c>
      <c r="B2152" t="s">
        <v>7907</v>
      </c>
      <c r="C2152" t="str">
        <f>"496"</f>
        <v>496</v>
      </c>
      <c r="E2152" t="s">
        <v>6296</v>
      </c>
      <c r="F2152" t="s">
        <v>54</v>
      </c>
      <c r="G2152" t="s">
        <v>7908</v>
      </c>
      <c r="H2152" t="s">
        <v>17</v>
      </c>
      <c r="I2152" t="s">
        <v>18</v>
      </c>
      <c r="J2152" t="str">
        <f>"4385264211"</f>
        <v>4385264211</v>
      </c>
      <c r="K2152" t="s">
        <v>7909</v>
      </c>
      <c r="L2152" t="s">
        <v>198</v>
      </c>
      <c r="M2152" t="s">
        <v>21</v>
      </c>
    </row>
    <row r="2153" spans="1:13" x14ac:dyDescent="0.35">
      <c r="A2153" t="str">
        <f>"229-1008"</f>
        <v>229-1008</v>
      </c>
      <c r="B2153" t="s">
        <v>7910</v>
      </c>
      <c r="C2153" t="str">
        <f>"48"</f>
        <v>48</v>
      </c>
      <c r="E2153" t="s">
        <v>7911</v>
      </c>
      <c r="F2153" t="s">
        <v>32</v>
      </c>
      <c r="G2153" t="s">
        <v>7912</v>
      </c>
      <c r="H2153" t="s">
        <v>17</v>
      </c>
      <c r="I2153" t="s">
        <v>18</v>
      </c>
      <c r="J2153" t="str">
        <f>"4389942858"</f>
        <v>4389942858</v>
      </c>
      <c r="K2153" t="s">
        <v>7913</v>
      </c>
      <c r="L2153" t="s">
        <v>86</v>
      </c>
      <c r="M2153" t="s">
        <v>21</v>
      </c>
    </row>
    <row r="2154" spans="1:13" x14ac:dyDescent="0.35">
      <c r="A2154" t="str">
        <f>"238-7750"</f>
        <v>238-7750</v>
      </c>
      <c r="B2154" t="s">
        <v>7914</v>
      </c>
      <c r="C2154" t="str">
        <f>"2228"</f>
        <v>2228</v>
      </c>
      <c r="E2154" t="s">
        <v>7915</v>
      </c>
      <c r="F2154" t="s">
        <v>54</v>
      </c>
      <c r="G2154" t="s">
        <v>7916</v>
      </c>
      <c r="H2154" t="s">
        <v>17</v>
      </c>
      <c r="I2154" t="s">
        <v>18</v>
      </c>
      <c r="J2154" t="str">
        <f>"4385456486"</f>
        <v>4385456486</v>
      </c>
      <c r="K2154" t="s">
        <v>7917</v>
      </c>
      <c r="L2154" t="s">
        <v>396</v>
      </c>
      <c r="M2154" t="s">
        <v>21</v>
      </c>
    </row>
    <row r="2155" spans="1:13" x14ac:dyDescent="0.35">
      <c r="A2155" t="str">
        <f>"242-1643"</f>
        <v>242-1643</v>
      </c>
      <c r="B2155" t="s">
        <v>7918</v>
      </c>
      <c r="C2155" t="str">
        <f>"6102"</f>
        <v>6102</v>
      </c>
      <c r="E2155" t="s">
        <v>7919</v>
      </c>
      <c r="F2155" t="s">
        <v>40</v>
      </c>
      <c r="G2155" t="s">
        <v>7920</v>
      </c>
      <c r="H2155" t="s">
        <v>17</v>
      </c>
      <c r="I2155" t="s">
        <v>18</v>
      </c>
      <c r="J2155" t="str">
        <f>"5142312568"</f>
        <v>5142312568</v>
      </c>
      <c r="K2155" t="s">
        <v>7921</v>
      </c>
      <c r="L2155" t="s">
        <v>86</v>
      </c>
      <c r="M2155" t="s">
        <v>21</v>
      </c>
    </row>
    <row r="2156" spans="1:13" x14ac:dyDescent="0.35">
      <c r="A2156" t="str">
        <f>"246-8661"</f>
        <v>246-8661</v>
      </c>
      <c r="B2156" t="s">
        <v>7922</v>
      </c>
      <c r="C2156" t="str">
        <f>"181"</f>
        <v>181</v>
      </c>
      <c r="E2156" t="s">
        <v>1798</v>
      </c>
      <c r="F2156" t="s">
        <v>143</v>
      </c>
      <c r="G2156" t="s">
        <v>7923</v>
      </c>
      <c r="H2156" t="s">
        <v>17</v>
      </c>
      <c r="I2156" t="s">
        <v>18</v>
      </c>
      <c r="J2156" t="str">
        <f>"4385016117"</f>
        <v>4385016117</v>
      </c>
      <c r="K2156" t="s">
        <v>7924</v>
      </c>
      <c r="L2156" t="s">
        <v>70</v>
      </c>
      <c r="M2156" t="s">
        <v>21</v>
      </c>
    </row>
    <row r="2157" spans="1:13" x14ac:dyDescent="0.35">
      <c r="A2157" t="str">
        <f>"246-8219"</f>
        <v>246-8219</v>
      </c>
      <c r="B2157" t="s">
        <v>7925</v>
      </c>
      <c r="C2157" t="str">
        <f>"10129"</f>
        <v>10129</v>
      </c>
      <c r="E2157" t="s">
        <v>144</v>
      </c>
      <c r="F2157" t="s">
        <v>24</v>
      </c>
      <c r="G2157" t="s">
        <v>7926</v>
      </c>
      <c r="H2157" t="s">
        <v>17</v>
      </c>
      <c r="I2157" t="s">
        <v>18</v>
      </c>
      <c r="J2157" t="str">
        <f>"4385305526"</f>
        <v>4385305526</v>
      </c>
      <c r="K2157" t="s">
        <v>7927</v>
      </c>
      <c r="L2157" t="s">
        <v>313</v>
      </c>
      <c r="M2157" t="s">
        <v>21</v>
      </c>
    </row>
    <row r="2158" spans="1:13" x14ac:dyDescent="0.35">
      <c r="A2158" t="str">
        <f>"246-8371"</f>
        <v>246-8371</v>
      </c>
      <c r="B2158" t="s">
        <v>7928</v>
      </c>
      <c r="C2158" t="str">
        <f>"2661"</f>
        <v>2661</v>
      </c>
      <c r="D2158" t="str">
        <f>"1"</f>
        <v>1</v>
      </c>
      <c r="E2158" t="s">
        <v>531</v>
      </c>
      <c r="F2158" t="s">
        <v>24</v>
      </c>
      <c r="G2158" t="s">
        <v>3292</v>
      </c>
      <c r="H2158" t="s">
        <v>17</v>
      </c>
      <c r="I2158" t="s">
        <v>18</v>
      </c>
      <c r="J2158" t="str">
        <f>"5148394535"</f>
        <v>5148394535</v>
      </c>
      <c r="K2158" t="s">
        <v>7929</v>
      </c>
      <c r="L2158" t="s">
        <v>86</v>
      </c>
      <c r="M2158" t="s">
        <v>21</v>
      </c>
    </row>
    <row r="2159" spans="1:13" x14ac:dyDescent="0.35">
      <c r="A2159" t="str">
        <f>"246-8382"</f>
        <v>246-8382</v>
      </c>
      <c r="B2159" t="s">
        <v>7930</v>
      </c>
      <c r="C2159" t="str">
        <f>"4930"</f>
        <v>4930</v>
      </c>
      <c r="D2159" t="str">
        <f>"6"</f>
        <v>6</v>
      </c>
      <c r="E2159" t="s">
        <v>1208</v>
      </c>
      <c r="F2159" t="s">
        <v>24</v>
      </c>
      <c r="G2159" t="s">
        <v>7931</v>
      </c>
      <c r="H2159" t="s">
        <v>17</v>
      </c>
      <c r="I2159" t="s">
        <v>18</v>
      </c>
      <c r="J2159" t="str">
        <f>"5149932911"</f>
        <v>5149932911</v>
      </c>
      <c r="K2159" t="s">
        <v>7932</v>
      </c>
      <c r="L2159" t="s">
        <v>86</v>
      </c>
      <c r="M2159" t="s">
        <v>21</v>
      </c>
    </row>
    <row r="2160" spans="1:13" x14ac:dyDescent="0.35">
      <c r="A2160" t="str">
        <f>"246-8829"</f>
        <v>246-8829</v>
      </c>
      <c r="B2160" t="s">
        <v>7933</v>
      </c>
      <c r="C2160" t="str">
        <f>"7841"</f>
        <v>7841</v>
      </c>
      <c r="E2160" t="s">
        <v>7934</v>
      </c>
      <c r="F2160" t="s">
        <v>24</v>
      </c>
      <c r="G2160" t="s">
        <v>7935</v>
      </c>
      <c r="H2160" t="s">
        <v>17</v>
      </c>
      <c r="I2160" t="s">
        <v>18</v>
      </c>
      <c r="J2160" t="str">
        <f>"5143537436"</f>
        <v>5143537436</v>
      </c>
      <c r="K2160" t="s">
        <v>7936</v>
      </c>
      <c r="L2160" t="s">
        <v>350</v>
      </c>
      <c r="M2160" t="s">
        <v>21</v>
      </c>
    </row>
    <row r="2161" spans="1:13" x14ac:dyDescent="0.35">
      <c r="A2161" t="str">
        <f>"247-7315"</f>
        <v>247-7315</v>
      </c>
      <c r="B2161" t="s">
        <v>7937</v>
      </c>
      <c r="C2161" t="str">
        <f>"8491"</f>
        <v>8491</v>
      </c>
      <c r="D2161" t="str">
        <f>"8"</f>
        <v>8</v>
      </c>
      <c r="E2161" t="s">
        <v>1835</v>
      </c>
      <c r="F2161" t="s">
        <v>24</v>
      </c>
      <c r="G2161" t="s">
        <v>570</v>
      </c>
      <c r="H2161" t="s">
        <v>17</v>
      </c>
      <c r="I2161" t="s">
        <v>18</v>
      </c>
      <c r="J2161" t="str">
        <f>"5149921246"</f>
        <v>5149921246</v>
      </c>
      <c r="K2161" t="s">
        <v>7938</v>
      </c>
      <c r="L2161" t="s">
        <v>396</v>
      </c>
      <c r="M2161" t="s">
        <v>21</v>
      </c>
    </row>
    <row r="2162" spans="1:13" x14ac:dyDescent="0.35">
      <c r="A2162" t="str">
        <f>"247-7954"</f>
        <v>247-7954</v>
      </c>
      <c r="B2162" t="s">
        <v>7939</v>
      </c>
      <c r="C2162" t="str">
        <f>"8625"</f>
        <v>8625</v>
      </c>
      <c r="E2162" t="s">
        <v>7940</v>
      </c>
      <c r="F2162" t="s">
        <v>24</v>
      </c>
      <c r="G2162" t="s">
        <v>7941</v>
      </c>
      <c r="H2162" t="s">
        <v>17</v>
      </c>
      <c r="I2162" t="s">
        <v>18</v>
      </c>
      <c r="J2162" t="str">
        <f>"4389985541"</f>
        <v>4389985541</v>
      </c>
      <c r="K2162" t="s">
        <v>7942</v>
      </c>
      <c r="L2162" t="s">
        <v>86</v>
      </c>
      <c r="M2162" t="s">
        <v>21</v>
      </c>
    </row>
    <row r="2163" spans="1:13" x14ac:dyDescent="0.35">
      <c r="A2163" t="str">
        <f>"247-8112"</f>
        <v>247-8112</v>
      </c>
      <c r="B2163" t="s">
        <v>7943</v>
      </c>
      <c r="C2163" t="str">
        <f>"36"</f>
        <v>36</v>
      </c>
      <c r="E2163" t="s">
        <v>7944</v>
      </c>
      <c r="F2163" t="s">
        <v>3318</v>
      </c>
      <c r="G2163" t="s">
        <v>3319</v>
      </c>
      <c r="H2163" t="s">
        <v>17</v>
      </c>
      <c r="I2163" t="s">
        <v>18</v>
      </c>
      <c r="J2163" t="str">
        <f>"5147069907"</f>
        <v>5147069907</v>
      </c>
      <c r="K2163" t="s">
        <v>7945</v>
      </c>
      <c r="L2163" t="s">
        <v>383</v>
      </c>
      <c r="M2163" t="s">
        <v>21</v>
      </c>
    </row>
    <row r="2164" spans="1:13" x14ac:dyDescent="0.35">
      <c r="A2164" t="str">
        <f>"248-2750"</f>
        <v>248-2750</v>
      </c>
      <c r="B2164" t="s">
        <v>7946</v>
      </c>
      <c r="C2164" t="str">
        <f>"2495"</f>
        <v>2495</v>
      </c>
      <c r="E2164" t="s">
        <v>7947</v>
      </c>
      <c r="F2164" t="s">
        <v>54</v>
      </c>
      <c r="G2164" t="s">
        <v>7948</v>
      </c>
      <c r="H2164" t="s">
        <v>17</v>
      </c>
      <c r="I2164" t="s">
        <v>18</v>
      </c>
      <c r="J2164" t="str">
        <f>"4383765440"</f>
        <v>4383765440</v>
      </c>
      <c r="K2164" t="s">
        <v>7949</v>
      </c>
      <c r="L2164" t="s">
        <v>198</v>
      </c>
      <c r="M2164" t="s">
        <v>21</v>
      </c>
    </row>
    <row r="2165" spans="1:13" x14ac:dyDescent="0.35">
      <c r="A2165" t="str">
        <f>"249-2495"</f>
        <v>249-2495</v>
      </c>
      <c r="B2165" t="s">
        <v>7950</v>
      </c>
      <c r="C2165" t="str">
        <f>"944"</f>
        <v>944</v>
      </c>
      <c r="E2165" t="s">
        <v>7951</v>
      </c>
      <c r="F2165" t="s">
        <v>157</v>
      </c>
      <c r="G2165" t="s">
        <v>7952</v>
      </c>
      <c r="H2165" t="s">
        <v>17</v>
      </c>
      <c r="I2165" t="s">
        <v>18</v>
      </c>
      <c r="J2165" t="str">
        <f>"4388755802"</f>
        <v>4388755802</v>
      </c>
      <c r="K2165" t="s">
        <v>7953</v>
      </c>
      <c r="L2165" t="s">
        <v>88</v>
      </c>
      <c r="M2165" t="s">
        <v>21</v>
      </c>
    </row>
    <row r="2166" spans="1:13" x14ac:dyDescent="0.35">
      <c r="A2166" t="str">
        <f>"249-3083"</f>
        <v>249-3083</v>
      </c>
      <c r="B2166" t="s">
        <v>7954</v>
      </c>
      <c r="C2166" t="str">
        <f>"65"</f>
        <v>65</v>
      </c>
      <c r="E2166" t="s">
        <v>494</v>
      </c>
      <c r="F2166" t="s">
        <v>24</v>
      </c>
      <c r="G2166" t="s">
        <v>7955</v>
      </c>
      <c r="H2166" t="s">
        <v>17</v>
      </c>
      <c r="I2166" t="s">
        <v>18</v>
      </c>
      <c r="J2166" t="str">
        <f>"5147730635"</f>
        <v>5147730635</v>
      </c>
      <c r="K2166" t="s">
        <v>7956</v>
      </c>
      <c r="L2166" t="s">
        <v>86</v>
      </c>
      <c r="M2166" t="s">
        <v>21</v>
      </c>
    </row>
    <row r="2167" spans="1:13" x14ac:dyDescent="0.35">
      <c r="A2167" t="str">
        <f>"249-3152"</f>
        <v>249-3152</v>
      </c>
      <c r="B2167" t="s">
        <v>7957</v>
      </c>
      <c r="C2167" t="str">
        <f>"4236"</f>
        <v>4236</v>
      </c>
      <c r="E2167" t="s">
        <v>789</v>
      </c>
      <c r="F2167" t="s">
        <v>24</v>
      </c>
      <c r="G2167" t="s">
        <v>790</v>
      </c>
      <c r="H2167" t="s">
        <v>17</v>
      </c>
      <c r="I2167" t="s">
        <v>18</v>
      </c>
      <c r="J2167" t="str">
        <f>"4384025467"</f>
        <v>4384025467</v>
      </c>
      <c r="K2167" t="s">
        <v>7958</v>
      </c>
      <c r="L2167" t="s">
        <v>76</v>
      </c>
      <c r="M2167" t="s">
        <v>21</v>
      </c>
    </row>
    <row r="2168" spans="1:13" x14ac:dyDescent="0.35">
      <c r="A2168" t="str">
        <f>"619-2604"</f>
        <v>619-2604</v>
      </c>
      <c r="B2168" t="s">
        <v>7959</v>
      </c>
      <c r="C2168" t="str">
        <f>"1763"</f>
        <v>1763</v>
      </c>
      <c r="E2168" t="s">
        <v>1216</v>
      </c>
      <c r="F2168" t="s">
        <v>4239</v>
      </c>
      <c r="G2168" t="s">
        <v>7960</v>
      </c>
      <c r="H2168" t="s">
        <v>17</v>
      </c>
      <c r="I2168" t="s">
        <v>18</v>
      </c>
      <c r="J2168" t="str">
        <f>"4385286934"</f>
        <v>4385286934</v>
      </c>
      <c r="K2168" t="s">
        <v>7961</v>
      </c>
      <c r="L2168" t="s">
        <v>198</v>
      </c>
      <c r="M2168" t="s">
        <v>21</v>
      </c>
    </row>
    <row r="2169" spans="1:13" x14ac:dyDescent="0.35">
      <c r="A2169" t="str">
        <f>"224-4618"</f>
        <v>224-4618</v>
      </c>
      <c r="B2169" t="s">
        <v>7962</v>
      </c>
      <c r="C2169" t="str">
        <f>"316"</f>
        <v>316</v>
      </c>
      <c r="E2169" t="s">
        <v>7963</v>
      </c>
      <c r="F2169" t="s">
        <v>7964</v>
      </c>
      <c r="G2169" t="s">
        <v>7965</v>
      </c>
      <c r="H2169" t="s">
        <v>17</v>
      </c>
      <c r="I2169" t="s">
        <v>18</v>
      </c>
      <c r="J2169" t="str">
        <f>"4383792005"</f>
        <v>4383792005</v>
      </c>
      <c r="K2169" t="s">
        <v>7966</v>
      </c>
      <c r="L2169" t="s">
        <v>39</v>
      </c>
      <c r="M2169" t="s">
        <v>21</v>
      </c>
    </row>
    <row r="2170" spans="1:13" x14ac:dyDescent="0.35">
      <c r="A2170" t="str">
        <f>"226-7940"</f>
        <v>226-7940</v>
      </c>
      <c r="B2170" t="s">
        <v>7967</v>
      </c>
      <c r="C2170" t="str">
        <f>"709"</f>
        <v>709</v>
      </c>
      <c r="E2170" t="s">
        <v>7968</v>
      </c>
      <c r="F2170" t="s">
        <v>24</v>
      </c>
      <c r="G2170" t="s">
        <v>7969</v>
      </c>
      <c r="H2170" t="s">
        <v>17</v>
      </c>
      <c r="I2170" t="s">
        <v>18</v>
      </c>
      <c r="J2170" t="str">
        <f>"4384029718"</f>
        <v>4384029718</v>
      </c>
      <c r="K2170" t="s">
        <v>7970</v>
      </c>
      <c r="L2170" t="s">
        <v>198</v>
      </c>
      <c r="M2170" t="s">
        <v>21</v>
      </c>
    </row>
    <row r="2171" spans="1:13" x14ac:dyDescent="0.35">
      <c r="A2171" t="str">
        <f>"226-8751"</f>
        <v>226-8751</v>
      </c>
      <c r="B2171" t="s">
        <v>7971</v>
      </c>
      <c r="C2171" t="str">
        <f>"8892"</f>
        <v>8892</v>
      </c>
      <c r="E2171" t="s">
        <v>2344</v>
      </c>
      <c r="F2171" t="s">
        <v>24</v>
      </c>
      <c r="G2171" t="s">
        <v>7972</v>
      </c>
      <c r="H2171" t="s">
        <v>17</v>
      </c>
      <c r="I2171" t="s">
        <v>18</v>
      </c>
      <c r="J2171" t="str">
        <f>"5147702231"</f>
        <v>5147702231</v>
      </c>
      <c r="K2171" t="s">
        <v>7973</v>
      </c>
      <c r="L2171" t="s">
        <v>168</v>
      </c>
      <c r="M2171" t="s">
        <v>21</v>
      </c>
    </row>
    <row r="2172" spans="1:13" x14ac:dyDescent="0.35">
      <c r="A2172" t="str">
        <f>"227-0526"</f>
        <v>227-0526</v>
      </c>
      <c r="B2172" t="s">
        <v>7974</v>
      </c>
      <c r="C2172" t="str">
        <f>"830"</f>
        <v>830</v>
      </c>
      <c r="E2172" t="s">
        <v>7975</v>
      </c>
      <c r="F2172" t="s">
        <v>7976</v>
      </c>
      <c r="G2172" t="s">
        <v>7977</v>
      </c>
      <c r="H2172" t="s">
        <v>17</v>
      </c>
      <c r="I2172" t="s">
        <v>18</v>
      </c>
      <c r="J2172" t="str">
        <f>"8732557248"</f>
        <v>8732557248</v>
      </c>
      <c r="K2172" t="s">
        <v>7978</v>
      </c>
      <c r="L2172" t="s">
        <v>319</v>
      </c>
      <c r="M2172" t="s">
        <v>21</v>
      </c>
    </row>
    <row r="2173" spans="1:13" x14ac:dyDescent="0.35">
      <c r="A2173" t="str">
        <f>"236-2146"</f>
        <v>236-2146</v>
      </c>
      <c r="B2173" t="s">
        <v>7979</v>
      </c>
      <c r="C2173" t="str">
        <f>"6522"</f>
        <v>6522</v>
      </c>
      <c r="E2173" t="s">
        <v>7980</v>
      </c>
      <c r="F2173" t="s">
        <v>40</v>
      </c>
      <c r="G2173" t="s">
        <v>7981</v>
      </c>
      <c r="H2173" t="s">
        <v>17</v>
      </c>
      <c r="I2173" t="s">
        <v>18</v>
      </c>
      <c r="J2173" t="str">
        <f>"5145731390"</f>
        <v>5145731390</v>
      </c>
      <c r="K2173" t="s">
        <v>7982</v>
      </c>
      <c r="L2173" t="s">
        <v>396</v>
      </c>
      <c r="M2173" t="s">
        <v>21</v>
      </c>
    </row>
    <row r="2174" spans="1:13" x14ac:dyDescent="0.35">
      <c r="A2174" t="str">
        <f>"236-9772"</f>
        <v>236-9772</v>
      </c>
      <c r="B2174" t="s">
        <v>7983</v>
      </c>
      <c r="C2174" t="str">
        <f>"1080"</f>
        <v>1080</v>
      </c>
      <c r="D2174" t="str">
        <f>"1068"</f>
        <v>1068</v>
      </c>
      <c r="E2174" t="s">
        <v>7984</v>
      </c>
      <c r="F2174" t="s">
        <v>143</v>
      </c>
      <c r="G2174" t="s">
        <v>6212</v>
      </c>
      <c r="H2174" t="s">
        <v>17</v>
      </c>
      <c r="I2174" t="s">
        <v>18</v>
      </c>
      <c r="J2174" t="str">
        <f>"4389798249"</f>
        <v>4389798249</v>
      </c>
      <c r="K2174" t="s">
        <v>7985</v>
      </c>
      <c r="L2174" t="s">
        <v>869</v>
      </c>
      <c r="M2174" t="s">
        <v>21</v>
      </c>
    </row>
    <row r="2175" spans="1:13" x14ac:dyDescent="0.35">
      <c r="A2175" t="str">
        <f>"237-6586"</f>
        <v>237-6586</v>
      </c>
      <c r="B2175" t="s">
        <v>7986</v>
      </c>
      <c r="C2175" t="str">
        <f>"8259"</f>
        <v>8259</v>
      </c>
      <c r="E2175" t="s">
        <v>7987</v>
      </c>
      <c r="F2175" t="s">
        <v>2880</v>
      </c>
      <c r="G2175" t="s">
        <v>7988</v>
      </c>
      <c r="H2175" t="s">
        <v>17</v>
      </c>
      <c r="I2175" t="s">
        <v>18</v>
      </c>
      <c r="J2175" t="str">
        <f>"5144247926"</f>
        <v>5144247926</v>
      </c>
      <c r="K2175" t="s">
        <v>7989</v>
      </c>
      <c r="L2175" t="s">
        <v>319</v>
      </c>
      <c r="M2175" t="s">
        <v>21</v>
      </c>
    </row>
    <row r="2176" spans="1:13" x14ac:dyDescent="0.35">
      <c r="A2176" t="str">
        <f>"246-3206"</f>
        <v>246-3206</v>
      </c>
      <c r="B2176" t="s">
        <v>7990</v>
      </c>
      <c r="C2176" t="str">
        <f>"2374"</f>
        <v>2374</v>
      </c>
      <c r="E2176" t="s">
        <v>1832</v>
      </c>
      <c r="F2176" t="s">
        <v>24</v>
      </c>
      <c r="G2176" t="s">
        <v>7991</v>
      </c>
      <c r="H2176" t="s">
        <v>17</v>
      </c>
      <c r="I2176" t="s">
        <v>18</v>
      </c>
      <c r="J2176" t="str">
        <f>"4189332286"</f>
        <v>4189332286</v>
      </c>
      <c r="K2176" t="s">
        <v>7992</v>
      </c>
      <c r="L2176" t="s">
        <v>313</v>
      </c>
      <c r="M2176" t="s">
        <v>21</v>
      </c>
    </row>
    <row r="2177" spans="1:13" x14ac:dyDescent="0.35">
      <c r="A2177" t="str">
        <f>"246-3264"</f>
        <v>246-3264</v>
      </c>
      <c r="B2177" t="s">
        <v>7993</v>
      </c>
      <c r="C2177" t="str">
        <f>"615"</f>
        <v>615</v>
      </c>
      <c r="D2177" t="str">
        <f>"8"</f>
        <v>8</v>
      </c>
      <c r="E2177" t="s">
        <v>7994</v>
      </c>
      <c r="F2177" t="s">
        <v>54</v>
      </c>
      <c r="G2177" t="s">
        <v>7995</v>
      </c>
      <c r="H2177" t="s">
        <v>17</v>
      </c>
      <c r="I2177" t="s">
        <v>18</v>
      </c>
      <c r="J2177" t="str">
        <f>"5145468556"</f>
        <v>5145468556</v>
      </c>
      <c r="K2177" t="s">
        <v>7996</v>
      </c>
      <c r="L2177" t="s">
        <v>86</v>
      </c>
      <c r="M2177" t="s">
        <v>21</v>
      </c>
    </row>
    <row r="2178" spans="1:13" x14ac:dyDescent="0.35">
      <c r="A2178" t="str">
        <f>"246-3535"</f>
        <v>246-3535</v>
      </c>
      <c r="B2178" t="s">
        <v>7997</v>
      </c>
      <c r="C2178" t="str">
        <f>"6075"</f>
        <v>6075</v>
      </c>
      <c r="E2178" t="s">
        <v>7998</v>
      </c>
      <c r="F2178" t="s">
        <v>256</v>
      </c>
      <c r="G2178" t="s">
        <v>7999</v>
      </c>
      <c r="H2178" t="s">
        <v>17</v>
      </c>
      <c r="I2178" t="s">
        <v>18</v>
      </c>
      <c r="J2178" t="str">
        <f>"5145705710"</f>
        <v>5145705710</v>
      </c>
      <c r="K2178" t="s">
        <v>8000</v>
      </c>
      <c r="L2178" t="s">
        <v>313</v>
      </c>
      <c r="M2178" t="s">
        <v>21</v>
      </c>
    </row>
    <row r="2179" spans="1:13" x14ac:dyDescent="0.35">
      <c r="A2179" t="str">
        <f>"246-3557"</f>
        <v>246-3557</v>
      </c>
      <c r="B2179" t="s">
        <v>8001</v>
      </c>
      <c r="C2179" t="str">
        <f>"6975"</f>
        <v>6975</v>
      </c>
      <c r="D2179" t="str">
        <f>"4"</f>
        <v>4</v>
      </c>
      <c r="E2179" t="s">
        <v>3902</v>
      </c>
      <c r="F2179" t="s">
        <v>24</v>
      </c>
      <c r="G2179" t="s">
        <v>8002</v>
      </c>
      <c r="H2179" t="s">
        <v>17</v>
      </c>
      <c r="I2179" t="s">
        <v>18</v>
      </c>
      <c r="J2179" t="str">
        <f>"4387643378"</f>
        <v>4387643378</v>
      </c>
      <c r="K2179" t="s">
        <v>8003</v>
      </c>
      <c r="L2179" t="s">
        <v>869</v>
      </c>
      <c r="M2179" t="s">
        <v>21</v>
      </c>
    </row>
    <row r="2180" spans="1:13" x14ac:dyDescent="0.35">
      <c r="A2180" t="str">
        <f>"247-1394"</f>
        <v>247-1394</v>
      </c>
      <c r="B2180" t="s">
        <v>8004</v>
      </c>
      <c r="C2180" t="str">
        <f>"777"</f>
        <v>777</v>
      </c>
      <c r="D2180" t="str">
        <f>"2627"</f>
        <v>2627</v>
      </c>
      <c r="E2180" t="s">
        <v>8005</v>
      </c>
      <c r="F2180" t="s">
        <v>24</v>
      </c>
      <c r="G2180" t="s">
        <v>8006</v>
      </c>
      <c r="H2180" t="s">
        <v>17</v>
      </c>
      <c r="I2180" t="s">
        <v>18</v>
      </c>
      <c r="J2180" t="str">
        <f>"4384670279"</f>
        <v>4384670279</v>
      </c>
      <c r="K2180" t="s">
        <v>8007</v>
      </c>
      <c r="L2180" t="s">
        <v>86</v>
      </c>
      <c r="M2180" t="s">
        <v>21</v>
      </c>
    </row>
    <row r="2181" spans="1:13" x14ac:dyDescent="0.35">
      <c r="A2181" t="str">
        <f>"247-2122"</f>
        <v>247-2122</v>
      </c>
      <c r="B2181" t="s">
        <v>8008</v>
      </c>
      <c r="C2181" t="str">
        <f>"10130"</f>
        <v>10130</v>
      </c>
      <c r="E2181" t="s">
        <v>1665</v>
      </c>
      <c r="F2181" t="s">
        <v>24</v>
      </c>
      <c r="G2181" t="s">
        <v>5400</v>
      </c>
      <c r="H2181" t="s">
        <v>17</v>
      </c>
      <c r="I2181" t="s">
        <v>18</v>
      </c>
      <c r="J2181" t="str">
        <f>"4389358844"</f>
        <v>4389358844</v>
      </c>
      <c r="K2181" t="s">
        <v>8009</v>
      </c>
      <c r="L2181" t="s">
        <v>466</v>
      </c>
      <c r="M2181" t="s">
        <v>21</v>
      </c>
    </row>
    <row r="2182" spans="1:13" x14ac:dyDescent="0.35">
      <c r="A2182" t="str">
        <f>"247-2474"</f>
        <v>247-2474</v>
      </c>
      <c r="B2182" t="s">
        <v>8010</v>
      </c>
      <c r="C2182" t="str">
        <f>"4825"</f>
        <v>4825</v>
      </c>
      <c r="D2182" t="str">
        <f>"02"</f>
        <v>02</v>
      </c>
      <c r="E2182" t="s">
        <v>8011</v>
      </c>
      <c r="F2182" t="s">
        <v>40</v>
      </c>
      <c r="G2182" t="s">
        <v>8012</v>
      </c>
      <c r="H2182" t="s">
        <v>17</v>
      </c>
      <c r="I2182" t="s">
        <v>18</v>
      </c>
      <c r="J2182" t="str">
        <f>"4388880090"</f>
        <v>4388880090</v>
      </c>
      <c r="K2182" t="s">
        <v>8013</v>
      </c>
      <c r="L2182" t="s">
        <v>220</v>
      </c>
      <c r="M2182" t="s">
        <v>21</v>
      </c>
    </row>
    <row r="2183" spans="1:13" x14ac:dyDescent="0.35">
      <c r="A2183" t="str">
        <f>"247-2590"</f>
        <v>247-2590</v>
      </c>
      <c r="B2183" t="s">
        <v>8014</v>
      </c>
      <c r="C2183" t="str">
        <f>"497"</f>
        <v>497</v>
      </c>
      <c r="E2183" t="s">
        <v>8015</v>
      </c>
      <c r="F2183" t="s">
        <v>157</v>
      </c>
      <c r="G2183" t="s">
        <v>8016</v>
      </c>
      <c r="H2183" t="s">
        <v>17</v>
      </c>
      <c r="I2183" t="s">
        <v>18</v>
      </c>
      <c r="J2183" t="str">
        <f>"5146640496"</f>
        <v>5146640496</v>
      </c>
      <c r="K2183" t="s">
        <v>8017</v>
      </c>
      <c r="L2183" t="s">
        <v>305</v>
      </c>
      <c r="M2183" t="s">
        <v>21</v>
      </c>
    </row>
    <row r="2184" spans="1:13" x14ac:dyDescent="0.35">
      <c r="A2184" t="str">
        <f>"248-7135"</f>
        <v>248-7135</v>
      </c>
      <c r="B2184" t="s">
        <v>8018</v>
      </c>
      <c r="C2184" t="str">
        <f>"7580"</f>
        <v>7580</v>
      </c>
      <c r="D2184" t="str">
        <f>"5"</f>
        <v>5</v>
      </c>
      <c r="E2184" t="s">
        <v>8019</v>
      </c>
      <c r="F2184" t="s">
        <v>24</v>
      </c>
      <c r="G2184" t="s">
        <v>7196</v>
      </c>
      <c r="H2184" t="s">
        <v>17</v>
      </c>
      <c r="I2184" t="s">
        <v>18</v>
      </c>
      <c r="J2184" t="str">
        <f>"5149718719"</f>
        <v>5149718719</v>
      </c>
      <c r="K2184" t="s">
        <v>8020</v>
      </c>
      <c r="L2184" t="s">
        <v>313</v>
      </c>
      <c r="M2184" t="s">
        <v>21</v>
      </c>
    </row>
    <row r="2185" spans="1:13" x14ac:dyDescent="0.35">
      <c r="A2185" t="str">
        <f>"248-7163"</f>
        <v>248-7163</v>
      </c>
      <c r="B2185" t="s">
        <v>8021</v>
      </c>
      <c r="C2185" t="str">
        <f>"15915"</f>
        <v>15915</v>
      </c>
      <c r="E2185" t="s">
        <v>861</v>
      </c>
      <c r="F2185" t="s">
        <v>24</v>
      </c>
      <c r="G2185" t="s">
        <v>8022</v>
      </c>
      <c r="H2185" t="s">
        <v>17</v>
      </c>
      <c r="I2185" t="s">
        <v>18</v>
      </c>
      <c r="J2185" t="str">
        <f>"5144446780"</f>
        <v>5144446780</v>
      </c>
      <c r="K2185" t="s">
        <v>8023</v>
      </c>
      <c r="L2185" t="s">
        <v>383</v>
      </c>
      <c r="M2185" t="s">
        <v>21</v>
      </c>
    </row>
    <row r="2186" spans="1:13" x14ac:dyDescent="0.35">
      <c r="A2186" t="str">
        <f>"248-7196"</f>
        <v>248-7196</v>
      </c>
      <c r="B2186" t="s">
        <v>8024</v>
      </c>
      <c r="C2186" t="str">
        <f>"16097"</f>
        <v>16097</v>
      </c>
      <c r="E2186" t="s">
        <v>4694</v>
      </c>
      <c r="F2186" t="s">
        <v>24</v>
      </c>
      <c r="G2186" t="s">
        <v>8025</v>
      </c>
      <c r="H2186" t="s">
        <v>17</v>
      </c>
      <c r="I2186" t="s">
        <v>18</v>
      </c>
      <c r="J2186" t="str">
        <f>"5146429160"</f>
        <v>5146429160</v>
      </c>
      <c r="K2186" t="s">
        <v>8026</v>
      </c>
      <c r="L2186" t="s">
        <v>869</v>
      </c>
      <c r="M2186" t="s">
        <v>21</v>
      </c>
    </row>
    <row r="2187" spans="1:13" x14ac:dyDescent="0.35">
      <c r="A2187" t="str">
        <f>"248-7861"</f>
        <v>248-7861</v>
      </c>
      <c r="B2187" t="s">
        <v>8027</v>
      </c>
      <c r="C2187" t="str">
        <f>"5945"</f>
        <v>5945</v>
      </c>
      <c r="E2187" t="s">
        <v>830</v>
      </c>
      <c r="F2187" t="s">
        <v>24</v>
      </c>
      <c r="G2187" t="s">
        <v>8028</v>
      </c>
      <c r="H2187" t="s">
        <v>17</v>
      </c>
      <c r="I2187" t="s">
        <v>18</v>
      </c>
      <c r="J2187" t="str">
        <f>"4385033608"</f>
        <v>4385033608</v>
      </c>
      <c r="K2187" t="s">
        <v>8029</v>
      </c>
      <c r="L2187" t="s">
        <v>86</v>
      </c>
      <c r="M2187" t="s">
        <v>21</v>
      </c>
    </row>
    <row r="2188" spans="1:13" x14ac:dyDescent="0.35">
      <c r="A2188" t="str">
        <f>"248-8249"</f>
        <v>248-8249</v>
      </c>
      <c r="B2188" t="s">
        <v>8030</v>
      </c>
      <c r="C2188" t="str">
        <f>"7691"</f>
        <v>7691</v>
      </c>
      <c r="E2188" t="s">
        <v>8031</v>
      </c>
      <c r="F2188" t="s">
        <v>24</v>
      </c>
      <c r="G2188" t="s">
        <v>8032</v>
      </c>
      <c r="H2188" t="s">
        <v>17</v>
      </c>
      <c r="I2188" t="s">
        <v>18</v>
      </c>
      <c r="J2188" t="str">
        <f>"4389784220"</f>
        <v>4389784220</v>
      </c>
      <c r="K2188" t="s">
        <v>8033</v>
      </c>
      <c r="L2188" t="s">
        <v>383</v>
      </c>
      <c r="M2188" t="s">
        <v>21</v>
      </c>
    </row>
    <row r="2189" spans="1:13" x14ac:dyDescent="0.35">
      <c r="A2189" t="str">
        <f>"630-6594"</f>
        <v>630-6594</v>
      </c>
      <c r="B2189" t="s">
        <v>8034</v>
      </c>
      <c r="C2189" t="str">
        <f>"988"</f>
        <v>988</v>
      </c>
      <c r="E2189" t="s">
        <v>8035</v>
      </c>
      <c r="F2189" t="s">
        <v>54</v>
      </c>
      <c r="G2189" t="s">
        <v>8036</v>
      </c>
      <c r="H2189" t="s">
        <v>17</v>
      </c>
      <c r="I2189" t="s">
        <v>18</v>
      </c>
      <c r="J2189" t="str">
        <f>"4389892416"</f>
        <v>4389892416</v>
      </c>
      <c r="K2189" t="s">
        <v>8037</v>
      </c>
      <c r="L2189" t="s">
        <v>396</v>
      </c>
      <c r="M2189" t="s">
        <v>21</v>
      </c>
    </row>
    <row r="2190" spans="1:13" x14ac:dyDescent="0.35">
      <c r="A2190" t="str">
        <f>"630-6692"</f>
        <v>630-6692</v>
      </c>
      <c r="B2190" t="s">
        <v>8038</v>
      </c>
      <c r="C2190" t="str">
        <f>"7274"</f>
        <v>7274</v>
      </c>
      <c r="E2190" t="s">
        <v>3027</v>
      </c>
      <c r="F2190" t="s">
        <v>24</v>
      </c>
      <c r="G2190" t="s">
        <v>8039</v>
      </c>
      <c r="H2190" t="s">
        <v>17</v>
      </c>
      <c r="I2190" t="s">
        <v>18</v>
      </c>
      <c r="J2190" t="str">
        <f>"4388358777"</f>
        <v>4388358777</v>
      </c>
      <c r="K2190" t="s">
        <v>8040</v>
      </c>
      <c r="L2190" t="s">
        <v>86</v>
      </c>
      <c r="M2190" t="s">
        <v>21</v>
      </c>
    </row>
    <row r="2191" spans="1:13" x14ac:dyDescent="0.35">
      <c r="A2191" t="str">
        <f>"631-6655"</f>
        <v>631-6655</v>
      </c>
      <c r="B2191" t="s">
        <v>8041</v>
      </c>
      <c r="C2191" t="str">
        <f>"4525"</f>
        <v>4525</v>
      </c>
      <c r="E2191" t="s">
        <v>1383</v>
      </c>
      <c r="F2191" t="s">
        <v>24</v>
      </c>
      <c r="G2191" t="s">
        <v>8042</v>
      </c>
      <c r="H2191" t="s">
        <v>17</v>
      </c>
      <c r="I2191" t="s">
        <v>18</v>
      </c>
      <c r="J2191" t="str">
        <f>"5148831615"</f>
        <v>5148831615</v>
      </c>
      <c r="K2191" t="s">
        <v>8043</v>
      </c>
      <c r="L2191" t="s">
        <v>86</v>
      </c>
      <c r="M2191" t="s">
        <v>21</v>
      </c>
    </row>
    <row r="2192" spans="1:13" x14ac:dyDescent="0.35">
      <c r="A2192" t="str">
        <f>"631-8553"</f>
        <v>631-8553</v>
      </c>
      <c r="B2192" t="s">
        <v>8044</v>
      </c>
      <c r="C2192" t="str">
        <f>"7994"</f>
        <v>7994</v>
      </c>
      <c r="E2192" t="s">
        <v>679</v>
      </c>
      <c r="F2192" t="s">
        <v>24</v>
      </c>
      <c r="G2192" t="s">
        <v>8045</v>
      </c>
      <c r="H2192" t="s">
        <v>17</v>
      </c>
      <c r="I2192" t="s">
        <v>18</v>
      </c>
      <c r="J2192" t="str">
        <f>"4388557868"</f>
        <v>4388557868</v>
      </c>
      <c r="K2192" t="s">
        <v>8046</v>
      </c>
      <c r="L2192" t="s">
        <v>86</v>
      </c>
      <c r="M2192" t="s">
        <v>21</v>
      </c>
    </row>
    <row r="2193" spans="1:13" x14ac:dyDescent="0.35">
      <c r="A2193" t="str">
        <f>"631-8902"</f>
        <v>631-8902</v>
      </c>
      <c r="B2193" t="s">
        <v>8047</v>
      </c>
      <c r="C2193" t="str">
        <f>"570"</f>
        <v>570</v>
      </c>
      <c r="E2193" t="s">
        <v>8048</v>
      </c>
      <c r="F2193" t="s">
        <v>24</v>
      </c>
      <c r="G2193" t="s">
        <v>8049</v>
      </c>
      <c r="H2193" t="s">
        <v>17</v>
      </c>
      <c r="I2193" t="s">
        <v>18</v>
      </c>
      <c r="J2193" t="str">
        <f>"4385029912"</f>
        <v>4385029912</v>
      </c>
      <c r="K2193" t="s">
        <v>8050</v>
      </c>
      <c r="L2193" t="s">
        <v>86</v>
      </c>
      <c r="M2193" t="s">
        <v>21</v>
      </c>
    </row>
    <row r="2194" spans="1:13" x14ac:dyDescent="0.35">
      <c r="A2194" t="str">
        <f>"631-8950"</f>
        <v>631-8950</v>
      </c>
      <c r="B2194" t="s">
        <v>8051</v>
      </c>
      <c r="C2194" t="str">
        <f>"2360"</f>
        <v>2360</v>
      </c>
      <c r="E2194" t="s">
        <v>8052</v>
      </c>
      <c r="F2194" t="s">
        <v>24</v>
      </c>
      <c r="G2194" t="s">
        <v>8053</v>
      </c>
      <c r="H2194" t="s">
        <v>17</v>
      </c>
      <c r="I2194" t="s">
        <v>18</v>
      </c>
      <c r="J2194" t="str">
        <f>"5142311820"</f>
        <v>5142311820</v>
      </c>
      <c r="K2194" t="s">
        <v>8054</v>
      </c>
      <c r="L2194" t="s">
        <v>88</v>
      </c>
      <c r="M2194" t="s">
        <v>21</v>
      </c>
    </row>
    <row r="2195" spans="1:13" x14ac:dyDescent="0.35">
      <c r="A2195" t="str">
        <f>"631-8999"</f>
        <v>631-8999</v>
      </c>
      <c r="B2195" t="s">
        <v>8055</v>
      </c>
      <c r="C2195" t="str">
        <f>"8130"</f>
        <v>8130</v>
      </c>
      <c r="E2195" t="s">
        <v>8056</v>
      </c>
      <c r="F2195" t="s">
        <v>24</v>
      </c>
      <c r="G2195" t="s">
        <v>8057</v>
      </c>
      <c r="H2195" t="s">
        <v>17</v>
      </c>
      <c r="I2195" t="s">
        <v>18</v>
      </c>
      <c r="J2195" t="str">
        <f>"5147972007"</f>
        <v>5147972007</v>
      </c>
      <c r="K2195" t="s">
        <v>8058</v>
      </c>
      <c r="L2195" t="s">
        <v>86</v>
      </c>
      <c r="M2195" t="s">
        <v>21</v>
      </c>
    </row>
    <row r="2196" spans="1:13" x14ac:dyDescent="0.35">
      <c r="A2196" t="str">
        <f>"095-4431"</f>
        <v>095-4431</v>
      </c>
      <c r="B2196" t="s">
        <v>8059</v>
      </c>
      <c r="C2196" t="str">
        <f>"2429"</f>
        <v>2429</v>
      </c>
      <c r="E2196" t="s">
        <v>5164</v>
      </c>
      <c r="F2196" t="s">
        <v>24</v>
      </c>
      <c r="G2196" t="s">
        <v>5165</v>
      </c>
      <c r="H2196" t="s">
        <v>17</v>
      </c>
      <c r="I2196" t="s">
        <v>18</v>
      </c>
      <c r="J2196" t="str">
        <f>"4388720329"</f>
        <v>4388720329</v>
      </c>
      <c r="K2196" t="s">
        <v>8060</v>
      </c>
      <c r="L2196" t="s">
        <v>20</v>
      </c>
      <c r="M2196" t="s">
        <v>21</v>
      </c>
    </row>
    <row r="2197" spans="1:13" x14ac:dyDescent="0.35">
      <c r="A2197" t="str">
        <f>"632-2460"</f>
        <v>632-2460</v>
      </c>
      <c r="B2197" t="s">
        <v>8061</v>
      </c>
      <c r="C2197" t="str">
        <f>"9379"</f>
        <v>9379</v>
      </c>
      <c r="E2197" t="s">
        <v>7652</v>
      </c>
      <c r="F2197" t="s">
        <v>24</v>
      </c>
      <c r="G2197" t="s">
        <v>8062</v>
      </c>
      <c r="H2197" t="s">
        <v>17</v>
      </c>
      <c r="I2197" t="s">
        <v>18</v>
      </c>
      <c r="J2197" t="str">
        <f>"5147020518"</f>
        <v>5147020518</v>
      </c>
      <c r="K2197" t="s">
        <v>8063</v>
      </c>
      <c r="L2197" t="s">
        <v>869</v>
      </c>
      <c r="M2197" t="s">
        <v>21</v>
      </c>
    </row>
    <row r="2198" spans="1:13" x14ac:dyDescent="0.35">
      <c r="A2198" t="str">
        <f>"632-2950"</f>
        <v>632-2950</v>
      </c>
      <c r="B2198" t="s">
        <v>8064</v>
      </c>
      <c r="C2198" t="str">
        <f>"593"</f>
        <v>593</v>
      </c>
      <c r="E2198" t="s">
        <v>822</v>
      </c>
      <c r="F2198" t="s">
        <v>24</v>
      </c>
      <c r="G2198" t="s">
        <v>8065</v>
      </c>
      <c r="H2198" t="s">
        <v>17</v>
      </c>
      <c r="I2198" t="s">
        <v>18</v>
      </c>
      <c r="J2198" t="str">
        <f>"4385049698"</f>
        <v>4385049698</v>
      </c>
      <c r="K2198" t="s">
        <v>8066</v>
      </c>
      <c r="L2198" t="s">
        <v>2316</v>
      </c>
      <c r="M2198" t="s">
        <v>21</v>
      </c>
    </row>
    <row r="2199" spans="1:13" x14ac:dyDescent="0.35">
      <c r="A2199" t="str">
        <f>"632-9449"</f>
        <v>632-9449</v>
      </c>
      <c r="B2199" t="s">
        <v>8067</v>
      </c>
      <c r="C2199" t="str">
        <f>"12273"</f>
        <v>12273</v>
      </c>
      <c r="E2199" t="s">
        <v>8068</v>
      </c>
      <c r="F2199" t="s">
        <v>24</v>
      </c>
      <c r="G2199" t="s">
        <v>8069</v>
      </c>
      <c r="H2199" t="s">
        <v>17</v>
      </c>
      <c r="I2199" t="s">
        <v>18</v>
      </c>
      <c r="J2199" t="str">
        <f>"5148159676"</f>
        <v>5148159676</v>
      </c>
      <c r="K2199" t="s">
        <v>8070</v>
      </c>
      <c r="L2199" t="s">
        <v>86</v>
      </c>
      <c r="M2199" t="s">
        <v>21</v>
      </c>
    </row>
    <row r="2200" spans="1:13" x14ac:dyDescent="0.35">
      <c r="A2200" t="str">
        <f>"632-9547"</f>
        <v>632-9547</v>
      </c>
      <c r="B2200" t="s">
        <v>8071</v>
      </c>
      <c r="C2200" t="str">
        <f>"5937"</f>
        <v>5937</v>
      </c>
      <c r="E2200" t="s">
        <v>8072</v>
      </c>
      <c r="F2200" t="s">
        <v>24</v>
      </c>
      <c r="G2200" t="s">
        <v>8073</v>
      </c>
      <c r="H2200" t="s">
        <v>17</v>
      </c>
      <c r="I2200" t="s">
        <v>18</v>
      </c>
      <c r="J2200" t="str">
        <f>"4389379058"</f>
        <v>4389379058</v>
      </c>
      <c r="K2200" t="s">
        <v>8074</v>
      </c>
      <c r="L2200" t="s">
        <v>168</v>
      </c>
      <c r="M2200" t="s">
        <v>21</v>
      </c>
    </row>
    <row r="2201" spans="1:13" x14ac:dyDescent="0.35">
      <c r="A2201" t="str">
        <f>"632-9800"</f>
        <v>632-9800</v>
      </c>
      <c r="B2201" t="s">
        <v>8075</v>
      </c>
      <c r="C2201" t="str">
        <f>"5746"</f>
        <v>5746</v>
      </c>
      <c r="E2201" t="s">
        <v>3523</v>
      </c>
      <c r="F2201" t="s">
        <v>40</v>
      </c>
      <c r="G2201" t="s">
        <v>8076</v>
      </c>
      <c r="H2201" t="s">
        <v>17</v>
      </c>
      <c r="I2201" t="s">
        <v>18</v>
      </c>
      <c r="J2201" t="str">
        <f>"5147233358"</f>
        <v>5147233358</v>
      </c>
      <c r="K2201" t="s">
        <v>8077</v>
      </c>
      <c r="L2201" t="s">
        <v>869</v>
      </c>
      <c r="M2201" t="s">
        <v>21</v>
      </c>
    </row>
    <row r="2202" spans="1:13" x14ac:dyDescent="0.35">
      <c r="A2202" t="str">
        <f>"632-9927"</f>
        <v>632-9927</v>
      </c>
      <c r="B2202" t="s">
        <v>8078</v>
      </c>
      <c r="C2202" t="str">
        <f>"6006"</f>
        <v>6006</v>
      </c>
      <c r="E2202" t="s">
        <v>3884</v>
      </c>
      <c r="F2202" t="s">
        <v>24</v>
      </c>
      <c r="G2202" t="s">
        <v>8079</v>
      </c>
      <c r="H2202" t="s">
        <v>17</v>
      </c>
      <c r="I2202" t="s">
        <v>18</v>
      </c>
      <c r="J2202" t="str">
        <f>"4385019545"</f>
        <v>4385019545</v>
      </c>
      <c r="K2202" t="s">
        <v>8080</v>
      </c>
      <c r="L2202" t="s">
        <v>198</v>
      </c>
      <c r="M2202" t="s">
        <v>21</v>
      </c>
    </row>
    <row r="2203" spans="1:13" x14ac:dyDescent="0.35">
      <c r="A2203" t="str">
        <f>"633-0080"</f>
        <v>633-0080</v>
      </c>
      <c r="B2203" t="s">
        <v>8081</v>
      </c>
      <c r="C2203" t="str">
        <f>"4935"</f>
        <v>4935</v>
      </c>
      <c r="E2203" t="s">
        <v>8082</v>
      </c>
      <c r="F2203" t="s">
        <v>24</v>
      </c>
      <c r="G2203" t="s">
        <v>8083</v>
      </c>
      <c r="H2203" t="s">
        <v>17</v>
      </c>
      <c r="I2203" t="s">
        <v>18</v>
      </c>
      <c r="J2203" t="str">
        <f>"5143546921"</f>
        <v>5143546921</v>
      </c>
      <c r="K2203" t="s">
        <v>8084</v>
      </c>
      <c r="L2203" t="s">
        <v>86</v>
      </c>
      <c r="M2203" t="s">
        <v>21</v>
      </c>
    </row>
    <row r="2204" spans="1:13" x14ac:dyDescent="0.35">
      <c r="A2204" t="str">
        <f>"633-0201"</f>
        <v>633-0201</v>
      </c>
      <c r="B2204" t="s">
        <v>8085</v>
      </c>
      <c r="C2204" t="str">
        <f>"13755"</f>
        <v>13755</v>
      </c>
      <c r="D2204" t="str">
        <f>"104"</f>
        <v>104</v>
      </c>
      <c r="E2204" t="s">
        <v>861</v>
      </c>
      <c r="F2204" t="s">
        <v>24</v>
      </c>
      <c r="G2204" t="s">
        <v>8086</v>
      </c>
      <c r="H2204" t="s">
        <v>17</v>
      </c>
      <c r="I2204" t="s">
        <v>18</v>
      </c>
      <c r="J2204" t="str">
        <f>"4383918234"</f>
        <v>4383918234</v>
      </c>
      <c r="K2204" t="s">
        <v>8087</v>
      </c>
      <c r="L2204" t="s">
        <v>869</v>
      </c>
      <c r="M2204" t="s">
        <v>21</v>
      </c>
    </row>
    <row r="2205" spans="1:13" x14ac:dyDescent="0.35">
      <c r="A2205" t="str">
        <f>"633-2446"</f>
        <v>633-2446</v>
      </c>
      <c r="B2205" t="s">
        <v>8088</v>
      </c>
      <c r="C2205" t="str">
        <f>"11213"</f>
        <v>11213</v>
      </c>
      <c r="D2205" t="str">
        <f>"3"</f>
        <v>3</v>
      </c>
      <c r="E2205" t="s">
        <v>8089</v>
      </c>
      <c r="F2205" t="s">
        <v>46</v>
      </c>
      <c r="G2205" t="s">
        <v>8090</v>
      </c>
      <c r="H2205" t="s">
        <v>17</v>
      </c>
      <c r="I2205" t="s">
        <v>18</v>
      </c>
      <c r="J2205" t="str">
        <f>"4389281880"</f>
        <v>4389281880</v>
      </c>
      <c r="K2205" t="s">
        <v>8091</v>
      </c>
      <c r="L2205" t="s">
        <v>86</v>
      </c>
      <c r="M2205" t="s">
        <v>21</v>
      </c>
    </row>
    <row r="2206" spans="1:13" x14ac:dyDescent="0.35">
      <c r="A2206" t="str">
        <f>"633-2471"</f>
        <v>633-2471</v>
      </c>
      <c r="B2206" t="s">
        <v>8092</v>
      </c>
      <c r="C2206" t="str">
        <f>"4850"</f>
        <v>4850</v>
      </c>
      <c r="E2206" t="s">
        <v>8093</v>
      </c>
      <c r="F2206" t="s">
        <v>24</v>
      </c>
      <c r="G2206" t="s">
        <v>2920</v>
      </c>
      <c r="H2206" t="s">
        <v>17</v>
      </c>
      <c r="I2206" t="s">
        <v>18</v>
      </c>
      <c r="J2206" t="str">
        <f>"4389293426"</f>
        <v>4389293426</v>
      </c>
      <c r="K2206" t="s">
        <v>8094</v>
      </c>
      <c r="L2206" t="s">
        <v>86</v>
      </c>
      <c r="M2206" t="s">
        <v>21</v>
      </c>
    </row>
    <row r="2207" spans="1:13" x14ac:dyDescent="0.35">
      <c r="A2207" t="str">
        <f>"915-7928"</f>
        <v>915-7928</v>
      </c>
      <c r="B2207" t="s">
        <v>8095</v>
      </c>
      <c r="C2207" t="str">
        <f>"4947"</f>
        <v>4947</v>
      </c>
      <c r="E2207" t="s">
        <v>8096</v>
      </c>
      <c r="F2207" t="s">
        <v>24</v>
      </c>
      <c r="G2207" t="s">
        <v>8097</v>
      </c>
      <c r="H2207" t="s">
        <v>17</v>
      </c>
      <c r="I2207" t="s">
        <v>18</v>
      </c>
      <c r="J2207" t="str">
        <f>"5148309446"</f>
        <v>5148309446</v>
      </c>
      <c r="K2207" t="s">
        <v>8098</v>
      </c>
      <c r="L2207" t="s">
        <v>39</v>
      </c>
      <c r="M2207" t="s">
        <v>21</v>
      </c>
    </row>
    <row r="2208" spans="1:13" x14ac:dyDescent="0.35">
      <c r="A2208" t="str">
        <f>"927-6848"</f>
        <v>927-6848</v>
      </c>
      <c r="B2208" t="s">
        <v>8099</v>
      </c>
      <c r="C2208" t="str">
        <f>"6652"</f>
        <v>6652</v>
      </c>
      <c r="E2208" t="s">
        <v>8100</v>
      </c>
      <c r="F2208" t="s">
        <v>24</v>
      </c>
      <c r="G2208" t="s">
        <v>8101</v>
      </c>
      <c r="H2208" t="s">
        <v>17</v>
      </c>
      <c r="I2208" t="s">
        <v>18</v>
      </c>
      <c r="J2208" t="str">
        <f>"4389361443"</f>
        <v>4389361443</v>
      </c>
      <c r="K2208" t="s">
        <v>8102</v>
      </c>
      <c r="L2208" t="s">
        <v>319</v>
      </c>
      <c r="M2208" t="s">
        <v>21</v>
      </c>
    </row>
    <row r="2209" spans="1:13" x14ac:dyDescent="0.35">
      <c r="A2209" t="str">
        <f>"948-2274"</f>
        <v>948-2274</v>
      </c>
      <c r="B2209" t="s">
        <v>8103</v>
      </c>
      <c r="C2209" t="str">
        <f>"3586"</f>
        <v>3586</v>
      </c>
      <c r="E2209" t="s">
        <v>8104</v>
      </c>
      <c r="F2209" t="s">
        <v>2281</v>
      </c>
      <c r="G2209" t="s">
        <v>2282</v>
      </c>
      <c r="H2209" t="s">
        <v>17</v>
      </c>
      <c r="I2209" t="s">
        <v>18</v>
      </c>
      <c r="J2209" t="str">
        <f>"5147741667"</f>
        <v>5147741667</v>
      </c>
      <c r="K2209" t="s">
        <v>8105</v>
      </c>
      <c r="L2209" t="s">
        <v>20</v>
      </c>
      <c r="M2209" t="s">
        <v>21</v>
      </c>
    </row>
    <row r="2210" spans="1:13" x14ac:dyDescent="0.35">
      <c r="A2210" t="str">
        <f>"994-0729"</f>
        <v>994-0729</v>
      </c>
      <c r="B2210" t="s">
        <v>8106</v>
      </c>
      <c r="C2210" t="str">
        <f>"330"</f>
        <v>330</v>
      </c>
      <c r="E2210" t="s">
        <v>8107</v>
      </c>
      <c r="F2210" t="s">
        <v>2262</v>
      </c>
      <c r="G2210" t="s">
        <v>8108</v>
      </c>
      <c r="H2210" t="s">
        <v>17</v>
      </c>
      <c r="I2210" t="s">
        <v>18</v>
      </c>
      <c r="J2210" t="str">
        <f>"5148315738"</f>
        <v>5148315738</v>
      </c>
      <c r="K2210" t="s">
        <v>8109</v>
      </c>
      <c r="L2210" t="s">
        <v>20</v>
      </c>
      <c r="M2210" t="s">
        <v>21</v>
      </c>
    </row>
    <row r="2211" spans="1:13" x14ac:dyDescent="0.35">
      <c r="A2211" t="str">
        <f>"195-6653"</f>
        <v>195-6653</v>
      </c>
      <c r="B2211" t="s">
        <v>8110</v>
      </c>
      <c r="C2211" t="str">
        <f>"414"</f>
        <v>414</v>
      </c>
      <c r="E2211" t="s">
        <v>8111</v>
      </c>
      <c r="F2211" t="s">
        <v>8112</v>
      </c>
      <c r="G2211" t="s">
        <v>8113</v>
      </c>
      <c r="H2211" t="s">
        <v>17</v>
      </c>
      <c r="I2211" t="s">
        <v>18</v>
      </c>
      <c r="J2211" t="str">
        <f>"4385435375"</f>
        <v>4385435375</v>
      </c>
      <c r="K2211" t="s">
        <v>8114</v>
      </c>
      <c r="L2211" t="s">
        <v>20</v>
      </c>
      <c r="M2211" t="s">
        <v>21</v>
      </c>
    </row>
    <row r="2212" spans="1:13" x14ac:dyDescent="0.35">
      <c r="A2212" t="str">
        <f>"203-0565"</f>
        <v>203-0565</v>
      </c>
      <c r="B2212" t="s">
        <v>8115</v>
      </c>
      <c r="C2212" t="str">
        <f>"960"</f>
        <v>960</v>
      </c>
      <c r="E2212" t="s">
        <v>8116</v>
      </c>
      <c r="F2212" t="s">
        <v>24</v>
      </c>
      <c r="G2212" t="s">
        <v>8117</v>
      </c>
      <c r="H2212" t="s">
        <v>17</v>
      </c>
      <c r="I2212" t="s">
        <v>18</v>
      </c>
      <c r="J2212" t="str">
        <f>"5142561398"</f>
        <v>5142561398</v>
      </c>
      <c r="K2212" t="s">
        <v>8118</v>
      </c>
      <c r="L2212" t="s">
        <v>313</v>
      </c>
      <c r="M2212" t="s">
        <v>21</v>
      </c>
    </row>
    <row r="2213" spans="1:13" x14ac:dyDescent="0.35">
      <c r="A2213" t="str">
        <f>"203-1065"</f>
        <v>203-1065</v>
      </c>
      <c r="B2213" t="s">
        <v>8119</v>
      </c>
      <c r="C2213" t="str">
        <f>"4033"</f>
        <v>4033</v>
      </c>
      <c r="D2213" t="str">
        <f>"4"</f>
        <v>4</v>
      </c>
      <c r="E2213" t="s">
        <v>343</v>
      </c>
      <c r="F2213" t="s">
        <v>24</v>
      </c>
      <c r="G2213" t="s">
        <v>8120</v>
      </c>
      <c r="H2213" t="s">
        <v>17</v>
      </c>
      <c r="I2213" t="s">
        <v>18</v>
      </c>
      <c r="J2213" t="str">
        <f>"8199191732"</f>
        <v>8199191732</v>
      </c>
      <c r="K2213" t="s">
        <v>8121</v>
      </c>
      <c r="L2213" t="s">
        <v>313</v>
      </c>
      <c r="M2213" t="s">
        <v>21</v>
      </c>
    </row>
    <row r="2214" spans="1:13" x14ac:dyDescent="0.35">
      <c r="A2214" t="str">
        <f>"211-4450"</f>
        <v>211-4450</v>
      </c>
      <c r="B2214" t="s">
        <v>8122</v>
      </c>
      <c r="C2214" t="str">
        <f>"6"</f>
        <v>6</v>
      </c>
      <c r="E2214" t="s">
        <v>8123</v>
      </c>
      <c r="F2214" t="s">
        <v>54</v>
      </c>
      <c r="G2214" t="s">
        <v>8124</v>
      </c>
      <c r="H2214" t="s">
        <v>17</v>
      </c>
      <c r="I2214" t="s">
        <v>18</v>
      </c>
      <c r="J2214" t="str">
        <f>"5145910177"</f>
        <v>5145910177</v>
      </c>
      <c r="K2214" t="s">
        <v>8125</v>
      </c>
      <c r="L2214" t="s">
        <v>29</v>
      </c>
      <c r="M2214" t="s">
        <v>21</v>
      </c>
    </row>
    <row r="2215" spans="1:13" x14ac:dyDescent="0.35">
      <c r="A2215" t="str">
        <f>"212-9993"</f>
        <v>212-9993</v>
      </c>
      <c r="B2215" t="s">
        <v>8126</v>
      </c>
      <c r="C2215" t="str">
        <f>"6451"</f>
        <v>6451</v>
      </c>
      <c r="D2215" t="str">
        <f>"6451"</f>
        <v>6451</v>
      </c>
      <c r="E2215" t="s">
        <v>8127</v>
      </c>
      <c r="F2215" t="s">
        <v>54</v>
      </c>
      <c r="G2215" t="s">
        <v>8128</v>
      </c>
      <c r="H2215" t="s">
        <v>17</v>
      </c>
      <c r="I2215" t="s">
        <v>18</v>
      </c>
      <c r="J2215" t="str">
        <f>"5146901684"</f>
        <v>5146901684</v>
      </c>
      <c r="K2215" t="s">
        <v>8129</v>
      </c>
      <c r="L2215" t="s">
        <v>350</v>
      </c>
      <c r="M2215" t="s">
        <v>21</v>
      </c>
    </row>
    <row r="2216" spans="1:13" x14ac:dyDescent="0.35">
      <c r="A2216" t="str">
        <f>"213-0055"</f>
        <v>213-0055</v>
      </c>
      <c r="B2216" t="s">
        <v>8130</v>
      </c>
      <c r="C2216" t="str">
        <f>"94"</f>
        <v>94</v>
      </c>
      <c r="E2216" t="s">
        <v>8131</v>
      </c>
      <c r="F2216" t="s">
        <v>54</v>
      </c>
      <c r="G2216" t="s">
        <v>8132</v>
      </c>
      <c r="H2216" t="s">
        <v>17</v>
      </c>
      <c r="I2216" t="s">
        <v>18</v>
      </c>
      <c r="J2216" t="str">
        <f>"4388888730"</f>
        <v>4388888730</v>
      </c>
      <c r="K2216" t="s">
        <v>8133</v>
      </c>
      <c r="L2216" t="s">
        <v>29</v>
      </c>
      <c r="M2216" t="s">
        <v>21</v>
      </c>
    </row>
    <row r="2217" spans="1:13" x14ac:dyDescent="0.35">
      <c r="A2217" t="str">
        <f>"213-0342"</f>
        <v>213-0342</v>
      </c>
      <c r="B2217" t="s">
        <v>8134</v>
      </c>
      <c r="C2217" t="str">
        <f>"1164"</f>
        <v>1164</v>
      </c>
      <c r="E2217" t="s">
        <v>8135</v>
      </c>
      <c r="F2217" t="s">
        <v>54</v>
      </c>
      <c r="G2217" t="s">
        <v>8136</v>
      </c>
      <c r="H2217" t="s">
        <v>17</v>
      </c>
      <c r="I2217" t="s">
        <v>18</v>
      </c>
      <c r="J2217" t="str">
        <f>"5145944165"</f>
        <v>5145944165</v>
      </c>
      <c r="K2217" t="s">
        <v>8137</v>
      </c>
      <c r="L2217" t="s">
        <v>137</v>
      </c>
      <c r="M2217" t="s">
        <v>21</v>
      </c>
    </row>
    <row r="2218" spans="1:13" x14ac:dyDescent="0.35">
      <c r="A2218" t="str">
        <f>"222-0551"</f>
        <v>222-0551</v>
      </c>
      <c r="B2218" t="s">
        <v>8138</v>
      </c>
      <c r="C2218" t="str">
        <f>"11053"</f>
        <v>11053</v>
      </c>
      <c r="E2218" t="s">
        <v>8139</v>
      </c>
      <c r="F2218" t="s">
        <v>24</v>
      </c>
      <c r="G2218" t="s">
        <v>8140</v>
      </c>
      <c r="H2218" t="s">
        <v>17</v>
      </c>
      <c r="I2218" t="s">
        <v>18</v>
      </c>
      <c r="J2218" t="str">
        <f>"4389908309"</f>
        <v>4389908309</v>
      </c>
      <c r="K2218" t="s">
        <v>8141</v>
      </c>
      <c r="L2218" t="s">
        <v>86</v>
      </c>
      <c r="M2218" t="s">
        <v>21</v>
      </c>
    </row>
    <row r="2219" spans="1:13" x14ac:dyDescent="0.35">
      <c r="A2219" t="str">
        <f>"235-9893"</f>
        <v>235-9893</v>
      </c>
      <c r="B2219" t="s">
        <v>8142</v>
      </c>
      <c r="C2219" t="str">
        <f>"355"</f>
        <v>355</v>
      </c>
      <c r="E2219" t="s">
        <v>1807</v>
      </c>
      <c r="F2219" t="s">
        <v>7863</v>
      </c>
      <c r="G2219" t="s">
        <v>8143</v>
      </c>
      <c r="H2219" t="s">
        <v>17</v>
      </c>
      <c r="I2219" t="s">
        <v>18</v>
      </c>
      <c r="J2219" t="str">
        <f>"4383349708"</f>
        <v>4383349708</v>
      </c>
      <c r="K2219" t="s">
        <v>8144</v>
      </c>
      <c r="L2219" t="s">
        <v>319</v>
      </c>
      <c r="M2219" t="s">
        <v>21</v>
      </c>
    </row>
    <row r="2220" spans="1:13" x14ac:dyDescent="0.35">
      <c r="A2220" t="str">
        <f>"236-0701"</f>
        <v>236-0701</v>
      </c>
      <c r="B2220" t="s">
        <v>8145</v>
      </c>
      <c r="C2220" t="str">
        <f>"4655"</f>
        <v>4655</v>
      </c>
      <c r="E2220" t="s">
        <v>8146</v>
      </c>
      <c r="F2220" t="s">
        <v>54</v>
      </c>
      <c r="G2220" t="s">
        <v>8147</v>
      </c>
      <c r="H2220" t="s">
        <v>17</v>
      </c>
      <c r="I2220" t="s">
        <v>18</v>
      </c>
      <c r="J2220" t="str">
        <f>"5148200112"</f>
        <v>5148200112</v>
      </c>
      <c r="K2220" t="s">
        <v>8148</v>
      </c>
      <c r="L2220" t="s">
        <v>137</v>
      </c>
      <c r="M2220" t="s">
        <v>21</v>
      </c>
    </row>
    <row r="2221" spans="1:13" x14ac:dyDescent="0.35">
      <c r="A2221" t="str">
        <f>"236-1687"</f>
        <v>236-1687</v>
      </c>
      <c r="B2221" t="s">
        <v>8149</v>
      </c>
      <c r="C2221" t="str">
        <f>"661"</f>
        <v>661</v>
      </c>
      <c r="E2221" t="s">
        <v>8150</v>
      </c>
      <c r="F2221" t="s">
        <v>143</v>
      </c>
      <c r="G2221" t="s">
        <v>8151</v>
      </c>
      <c r="H2221" t="s">
        <v>17</v>
      </c>
      <c r="I2221" t="s">
        <v>18</v>
      </c>
      <c r="J2221" t="str">
        <f>"4388664178"</f>
        <v>4388664178</v>
      </c>
      <c r="K2221" t="s">
        <v>8152</v>
      </c>
      <c r="L2221" t="s">
        <v>350</v>
      </c>
      <c r="M2221" t="s">
        <v>21</v>
      </c>
    </row>
    <row r="2222" spans="1:13" x14ac:dyDescent="0.35">
      <c r="A2222" t="str">
        <f>"174-4106"</f>
        <v>174-4106</v>
      </c>
      <c r="B2222" t="s">
        <v>8153</v>
      </c>
      <c r="C2222" t="str">
        <f>"824"</f>
        <v>824</v>
      </c>
      <c r="E2222" t="s">
        <v>8154</v>
      </c>
      <c r="F2222" t="s">
        <v>566</v>
      </c>
      <c r="G2222" t="s">
        <v>8155</v>
      </c>
      <c r="H2222" t="s">
        <v>17</v>
      </c>
      <c r="I2222" t="s">
        <v>18</v>
      </c>
      <c r="J2222" t="str">
        <f>"4505441698"</f>
        <v>4505441698</v>
      </c>
      <c r="K2222" t="s">
        <v>8156</v>
      </c>
      <c r="L2222" t="s">
        <v>350</v>
      </c>
      <c r="M2222" t="s">
        <v>21</v>
      </c>
    </row>
    <row r="2223" spans="1:13" x14ac:dyDescent="0.35">
      <c r="A2223" t="str">
        <f>"178-0619"</f>
        <v>178-0619</v>
      </c>
      <c r="B2223" t="s">
        <v>8157</v>
      </c>
      <c r="C2223" t="str">
        <f>"1222"</f>
        <v>1222</v>
      </c>
      <c r="E2223" t="s">
        <v>8158</v>
      </c>
      <c r="F2223" t="s">
        <v>54</v>
      </c>
      <c r="G2223" t="s">
        <v>8159</v>
      </c>
      <c r="H2223" t="s">
        <v>17</v>
      </c>
      <c r="I2223" t="s">
        <v>18</v>
      </c>
      <c r="J2223" t="str">
        <f>"4386868167"</f>
        <v>4386868167</v>
      </c>
      <c r="K2223" t="s">
        <v>8160</v>
      </c>
      <c r="L2223" t="s">
        <v>313</v>
      </c>
      <c r="M2223" t="s">
        <v>21</v>
      </c>
    </row>
    <row r="2224" spans="1:13" x14ac:dyDescent="0.35">
      <c r="A2224" t="str">
        <f>"633-1797"</f>
        <v>633-1797</v>
      </c>
      <c r="B2224" t="s">
        <v>8161</v>
      </c>
      <c r="C2224" t="str">
        <f>"8199"</f>
        <v>8199</v>
      </c>
      <c r="D2224" t="str">
        <f>"202"</f>
        <v>202</v>
      </c>
      <c r="E2224" t="s">
        <v>8162</v>
      </c>
      <c r="F2224" t="s">
        <v>24</v>
      </c>
      <c r="G2224" t="s">
        <v>8163</v>
      </c>
      <c r="H2224" t="s">
        <v>17</v>
      </c>
      <c r="I2224" t="s">
        <v>18</v>
      </c>
      <c r="J2224" t="str">
        <f>"4384087239"</f>
        <v>4384087239</v>
      </c>
      <c r="K2224" t="s">
        <v>8164</v>
      </c>
      <c r="L2224" t="s">
        <v>220</v>
      </c>
      <c r="M2224" t="s">
        <v>21</v>
      </c>
    </row>
    <row r="2225" spans="1:13" x14ac:dyDescent="0.35">
      <c r="A2225" t="str">
        <f>"216-3336"</f>
        <v>216-3336</v>
      </c>
      <c r="B2225" t="s">
        <v>8165</v>
      </c>
      <c r="C2225" t="str">
        <f>"5172"</f>
        <v>5172</v>
      </c>
      <c r="D2225" t="str">
        <f>"A"</f>
        <v>A</v>
      </c>
      <c r="E2225" t="s">
        <v>8166</v>
      </c>
      <c r="F2225" t="s">
        <v>24</v>
      </c>
      <c r="G2225" t="s">
        <v>8167</v>
      </c>
      <c r="H2225" t="s">
        <v>17</v>
      </c>
      <c r="I2225" t="s">
        <v>18</v>
      </c>
      <c r="J2225" t="str">
        <f>"4389329615"</f>
        <v>4389329615</v>
      </c>
      <c r="K2225" t="s">
        <v>8168</v>
      </c>
      <c r="L2225" t="s">
        <v>86</v>
      </c>
      <c r="M2225" t="s">
        <v>21</v>
      </c>
    </row>
    <row r="2226" spans="1:13" x14ac:dyDescent="0.35">
      <c r="A2226" t="str">
        <f>"216-3818"</f>
        <v>216-3818</v>
      </c>
      <c r="B2226" t="s">
        <v>8169</v>
      </c>
      <c r="C2226" t="str">
        <f>"3615"</f>
        <v>3615</v>
      </c>
      <c r="E2226" t="s">
        <v>8170</v>
      </c>
      <c r="F2226" t="s">
        <v>24</v>
      </c>
      <c r="G2226" t="s">
        <v>8171</v>
      </c>
      <c r="H2226" t="s">
        <v>17</v>
      </c>
      <c r="I2226" t="s">
        <v>18</v>
      </c>
      <c r="J2226" t="str">
        <f>"4384057835"</f>
        <v>4384057835</v>
      </c>
      <c r="K2226" t="s">
        <v>8172</v>
      </c>
      <c r="L2226" t="s">
        <v>207</v>
      </c>
      <c r="M2226" t="s">
        <v>21</v>
      </c>
    </row>
    <row r="2227" spans="1:13" x14ac:dyDescent="0.35">
      <c r="A2227" t="str">
        <f>"216-9308"</f>
        <v>216-9308</v>
      </c>
      <c r="B2227" t="s">
        <v>8173</v>
      </c>
      <c r="C2227" t="str">
        <f>"5421"</f>
        <v>5421</v>
      </c>
      <c r="E2227" t="s">
        <v>2053</v>
      </c>
      <c r="F2227" t="s">
        <v>24</v>
      </c>
      <c r="G2227" t="s">
        <v>2054</v>
      </c>
      <c r="H2227" t="s">
        <v>17</v>
      </c>
      <c r="I2227" t="s">
        <v>18</v>
      </c>
      <c r="J2227" t="str">
        <f>"4387637039"</f>
        <v>4387637039</v>
      </c>
      <c r="K2227" t="s">
        <v>8174</v>
      </c>
      <c r="L2227" t="s">
        <v>396</v>
      </c>
      <c r="M2227" t="s">
        <v>21</v>
      </c>
    </row>
    <row r="2228" spans="1:13" x14ac:dyDescent="0.35">
      <c r="A2228" t="str">
        <f>"225-9766"</f>
        <v>225-9766</v>
      </c>
      <c r="B2228" t="s">
        <v>8175</v>
      </c>
      <c r="C2228" t="str">
        <f>"10985"</f>
        <v>10985</v>
      </c>
      <c r="E2228" t="s">
        <v>691</v>
      </c>
      <c r="F2228" t="s">
        <v>24</v>
      </c>
      <c r="G2228" t="s">
        <v>2434</v>
      </c>
      <c r="H2228" t="s">
        <v>17</v>
      </c>
      <c r="I2228" t="s">
        <v>18</v>
      </c>
      <c r="J2228" t="str">
        <f>"4385277521"</f>
        <v>4385277521</v>
      </c>
      <c r="K2228" t="s">
        <v>8176</v>
      </c>
      <c r="L2228" t="s">
        <v>86</v>
      </c>
      <c r="M2228" t="s">
        <v>21</v>
      </c>
    </row>
    <row r="2229" spans="1:13" x14ac:dyDescent="0.35">
      <c r="A2229" t="str">
        <f>"226-0502"</f>
        <v>226-0502</v>
      </c>
      <c r="B2229" t="s">
        <v>8177</v>
      </c>
      <c r="C2229" t="str">
        <f>"950"</f>
        <v>950</v>
      </c>
      <c r="E2229" t="s">
        <v>8178</v>
      </c>
      <c r="F2229" t="s">
        <v>32</v>
      </c>
      <c r="G2229" t="s">
        <v>8179</v>
      </c>
      <c r="H2229" t="s">
        <v>17</v>
      </c>
      <c r="I2229" t="s">
        <v>18</v>
      </c>
      <c r="J2229" t="str">
        <f>"4388878781"</f>
        <v>4388878781</v>
      </c>
      <c r="K2229" t="s">
        <v>8180</v>
      </c>
      <c r="L2229" t="s">
        <v>168</v>
      </c>
      <c r="M2229" t="s">
        <v>21</v>
      </c>
    </row>
    <row r="2230" spans="1:13" x14ac:dyDescent="0.35">
      <c r="A2230" t="str">
        <f>"226-5431"</f>
        <v>226-5431</v>
      </c>
      <c r="B2230" t="s">
        <v>8181</v>
      </c>
      <c r="C2230" t="str">
        <f>"35"</f>
        <v>35</v>
      </c>
      <c r="E2230" t="s">
        <v>2758</v>
      </c>
      <c r="F2230" t="s">
        <v>24</v>
      </c>
      <c r="G2230" t="s">
        <v>8182</v>
      </c>
      <c r="H2230" t="s">
        <v>17</v>
      </c>
      <c r="I2230" t="s">
        <v>18</v>
      </c>
      <c r="J2230" t="str">
        <f>"4384627558"</f>
        <v>4384627558</v>
      </c>
      <c r="K2230" t="s">
        <v>8183</v>
      </c>
      <c r="L2230" t="s">
        <v>29</v>
      </c>
      <c r="M2230" t="s">
        <v>21</v>
      </c>
    </row>
    <row r="2231" spans="1:13" x14ac:dyDescent="0.35">
      <c r="A2231" t="str">
        <f>"115-0369"</f>
        <v>115-0369</v>
      </c>
      <c r="B2231" t="s">
        <v>8184</v>
      </c>
      <c r="C2231" t="str">
        <f>"445"</f>
        <v>445</v>
      </c>
      <c r="E2231" t="s">
        <v>8185</v>
      </c>
      <c r="F2231" t="s">
        <v>4975</v>
      </c>
      <c r="G2231" t="s">
        <v>8186</v>
      </c>
      <c r="H2231" t="s">
        <v>17</v>
      </c>
      <c r="I2231" t="s">
        <v>18</v>
      </c>
      <c r="J2231" t="str">
        <f>"4383772351"</f>
        <v>4383772351</v>
      </c>
      <c r="K2231" t="s">
        <v>8187</v>
      </c>
      <c r="L2231" t="s">
        <v>20</v>
      </c>
      <c r="M2231" t="s">
        <v>21</v>
      </c>
    </row>
    <row r="2232" spans="1:13" x14ac:dyDescent="0.35">
      <c r="A2232" t="str">
        <f>"624-1898"</f>
        <v>624-1898</v>
      </c>
      <c r="B2232" t="s">
        <v>8188</v>
      </c>
      <c r="C2232" t="str">
        <f>"2374"</f>
        <v>2374</v>
      </c>
      <c r="D2232" t="str">
        <f>"1"</f>
        <v>1</v>
      </c>
      <c r="E2232" t="s">
        <v>176</v>
      </c>
      <c r="F2232" t="s">
        <v>24</v>
      </c>
      <c r="G2232" t="s">
        <v>7640</v>
      </c>
      <c r="H2232" t="s">
        <v>17</v>
      </c>
      <c r="I2232" t="s">
        <v>18</v>
      </c>
      <c r="J2232" t="str">
        <f>"5147073054"</f>
        <v>5147073054</v>
      </c>
      <c r="K2232" t="s">
        <v>8189</v>
      </c>
      <c r="L2232" t="s">
        <v>86</v>
      </c>
      <c r="M2232" t="s">
        <v>21</v>
      </c>
    </row>
    <row r="2233" spans="1:13" x14ac:dyDescent="0.35">
      <c r="A2233" t="str">
        <f>"629-0441"</f>
        <v>629-0441</v>
      </c>
      <c r="B2233" t="s">
        <v>8190</v>
      </c>
      <c r="C2233" t="str">
        <f>"4236"</f>
        <v>4236</v>
      </c>
      <c r="E2233" t="s">
        <v>789</v>
      </c>
      <c r="F2233" t="s">
        <v>24</v>
      </c>
      <c r="G2233" t="s">
        <v>790</v>
      </c>
      <c r="H2233" t="s">
        <v>17</v>
      </c>
      <c r="I2233" t="s">
        <v>18</v>
      </c>
      <c r="J2233" t="str">
        <f>"4384025467"</f>
        <v>4384025467</v>
      </c>
      <c r="K2233" t="s">
        <v>8191</v>
      </c>
      <c r="L2233" t="s">
        <v>27</v>
      </c>
      <c r="M2233" t="s">
        <v>21</v>
      </c>
    </row>
    <row r="2234" spans="1:13" x14ac:dyDescent="0.35">
      <c r="A2234" t="str">
        <f>"629-0790"</f>
        <v>629-0790</v>
      </c>
      <c r="B2234" t="s">
        <v>8192</v>
      </c>
      <c r="C2234" t="str">
        <f>"4516"</f>
        <v>4516</v>
      </c>
      <c r="E2234" t="s">
        <v>1880</v>
      </c>
      <c r="F2234" t="s">
        <v>24</v>
      </c>
      <c r="G2234" t="s">
        <v>1881</v>
      </c>
      <c r="H2234" t="s">
        <v>17</v>
      </c>
      <c r="I2234" t="s">
        <v>18</v>
      </c>
      <c r="J2234" t="str">
        <f>"5143761620"</f>
        <v>5143761620</v>
      </c>
      <c r="K2234" t="s">
        <v>8193</v>
      </c>
      <c r="L2234" t="s">
        <v>86</v>
      </c>
      <c r="M2234" t="s">
        <v>21</v>
      </c>
    </row>
    <row r="2235" spans="1:13" x14ac:dyDescent="0.35">
      <c r="A2235" t="str">
        <f>"629-2691"</f>
        <v>629-2691</v>
      </c>
      <c r="B2235" t="s">
        <v>8194</v>
      </c>
      <c r="C2235" t="str">
        <f>"5474"</f>
        <v>5474</v>
      </c>
      <c r="E2235" t="s">
        <v>238</v>
      </c>
      <c r="F2235" t="s">
        <v>24</v>
      </c>
      <c r="G2235" t="s">
        <v>8195</v>
      </c>
      <c r="H2235" t="s">
        <v>17</v>
      </c>
      <c r="I2235" t="s">
        <v>18</v>
      </c>
      <c r="J2235" t="str">
        <f>"4383515031"</f>
        <v>4383515031</v>
      </c>
      <c r="K2235" t="s">
        <v>8196</v>
      </c>
      <c r="L2235" t="s">
        <v>2316</v>
      </c>
      <c r="M2235" t="s">
        <v>21</v>
      </c>
    </row>
    <row r="2236" spans="1:13" x14ac:dyDescent="0.35">
      <c r="A2236" t="str">
        <f>"629-3744"</f>
        <v>629-3744</v>
      </c>
      <c r="B2236" t="s">
        <v>8197</v>
      </c>
      <c r="C2236" t="str">
        <f>"1630"</f>
        <v>1630</v>
      </c>
      <c r="D2236" t="str">
        <f>"1"</f>
        <v>1</v>
      </c>
      <c r="E2236" t="s">
        <v>250</v>
      </c>
      <c r="F2236" t="s">
        <v>24</v>
      </c>
      <c r="G2236" t="s">
        <v>294</v>
      </c>
      <c r="H2236" t="s">
        <v>17</v>
      </c>
      <c r="I2236" t="s">
        <v>18</v>
      </c>
      <c r="J2236" t="str">
        <f>"5144439875"</f>
        <v>5144439875</v>
      </c>
      <c r="K2236" t="s">
        <v>8198</v>
      </c>
      <c r="L2236" t="s">
        <v>193</v>
      </c>
      <c r="M2236" t="s">
        <v>21</v>
      </c>
    </row>
    <row r="2237" spans="1:13" x14ac:dyDescent="0.35">
      <c r="A2237" t="str">
        <f>"629-4558"</f>
        <v>629-4558</v>
      </c>
      <c r="B2237" t="s">
        <v>8199</v>
      </c>
      <c r="C2237" t="str">
        <f>"6407"</f>
        <v>6407</v>
      </c>
      <c r="E2237" t="s">
        <v>8200</v>
      </c>
      <c r="F2237" t="s">
        <v>24</v>
      </c>
      <c r="G2237" t="s">
        <v>8201</v>
      </c>
      <c r="H2237" t="s">
        <v>17</v>
      </c>
      <c r="I2237" t="s">
        <v>18</v>
      </c>
      <c r="J2237" t="str">
        <f>"5143255891"</f>
        <v>5143255891</v>
      </c>
      <c r="K2237" t="s">
        <v>8202</v>
      </c>
      <c r="L2237" t="s">
        <v>86</v>
      </c>
      <c r="M2237" t="s">
        <v>21</v>
      </c>
    </row>
    <row r="2238" spans="1:13" x14ac:dyDescent="0.35">
      <c r="A2238" t="str">
        <f>"978-8673"</f>
        <v>978-8673</v>
      </c>
      <c r="B2238" t="s">
        <v>8203</v>
      </c>
      <c r="C2238" t="str">
        <f>"4700"</f>
        <v>4700</v>
      </c>
      <c r="E2238" t="s">
        <v>1650</v>
      </c>
      <c r="F2238" t="s">
        <v>24</v>
      </c>
      <c r="G2238" t="s">
        <v>8204</v>
      </c>
      <c r="H2238" t="s">
        <v>17</v>
      </c>
      <c r="I2238" t="s">
        <v>18</v>
      </c>
      <c r="J2238" t="str">
        <f>"5142445285"</f>
        <v>5142445285</v>
      </c>
      <c r="K2238" t="s">
        <v>8205</v>
      </c>
      <c r="L2238" t="s">
        <v>305</v>
      </c>
      <c r="M2238" t="s">
        <v>21</v>
      </c>
    </row>
    <row r="2239" spans="1:13" x14ac:dyDescent="0.35">
      <c r="A2239" t="str">
        <f>"985-5959"</f>
        <v>985-5959</v>
      </c>
      <c r="B2239" t="s">
        <v>8206</v>
      </c>
      <c r="C2239" t="str">
        <f>"3885"</f>
        <v>3885</v>
      </c>
      <c r="E2239" t="s">
        <v>8207</v>
      </c>
      <c r="F2239" t="s">
        <v>143</v>
      </c>
      <c r="G2239" t="s">
        <v>8208</v>
      </c>
      <c r="H2239" t="s">
        <v>17</v>
      </c>
      <c r="I2239" t="s">
        <v>18</v>
      </c>
      <c r="J2239" t="str">
        <f>"5146517393"</f>
        <v>5146517393</v>
      </c>
      <c r="K2239" t="s">
        <v>8209</v>
      </c>
      <c r="L2239" t="s">
        <v>20</v>
      </c>
      <c r="M2239" t="s">
        <v>21</v>
      </c>
    </row>
    <row r="2240" spans="1:13" x14ac:dyDescent="0.35">
      <c r="A2240" t="str">
        <f>"197-7200"</f>
        <v>197-7200</v>
      </c>
      <c r="B2240" t="s">
        <v>8210</v>
      </c>
      <c r="C2240" t="str">
        <f>"7516"</f>
        <v>7516</v>
      </c>
      <c r="D2240" t="str">
        <f>"2"</f>
        <v>2</v>
      </c>
      <c r="E2240" t="s">
        <v>286</v>
      </c>
      <c r="F2240" t="s">
        <v>24</v>
      </c>
      <c r="G2240" t="s">
        <v>7724</v>
      </c>
      <c r="H2240" t="s">
        <v>17</v>
      </c>
      <c r="I2240" t="s">
        <v>18</v>
      </c>
      <c r="J2240" t="str">
        <f>"5794883075"</f>
        <v>5794883075</v>
      </c>
      <c r="K2240" t="s">
        <v>8211</v>
      </c>
      <c r="L2240" t="s">
        <v>20</v>
      </c>
      <c r="M2240" t="s">
        <v>21</v>
      </c>
    </row>
    <row r="2241" spans="1:13" x14ac:dyDescent="0.35">
      <c r="A2241" t="str">
        <f>"197-8074"</f>
        <v>197-8074</v>
      </c>
      <c r="B2241" t="s">
        <v>8212</v>
      </c>
      <c r="C2241" t="str">
        <f>"9378"</f>
        <v>9378</v>
      </c>
      <c r="E2241" t="s">
        <v>485</v>
      </c>
      <c r="F2241" t="s">
        <v>24</v>
      </c>
      <c r="G2241" t="s">
        <v>8213</v>
      </c>
      <c r="H2241" t="s">
        <v>17</v>
      </c>
      <c r="I2241" t="s">
        <v>18</v>
      </c>
      <c r="J2241" t="str">
        <f>"4382237510"</f>
        <v>4382237510</v>
      </c>
      <c r="K2241" t="s">
        <v>8214</v>
      </c>
      <c r="L2241" t="s">
        <v>27</v>
      </c>
      <c r="M2241" t="s">
        <v>21</v>
      </c>
    </row>
    <row r="2242" spans="1:13" x14ac:dyDescent="0.35">
      <c r="A2242" t="str">
        <f>"198-4344"</f>
        <v>198-4344</v>
      </c>
      <c r="B2242" t="s">
        <v>8215</v>
      </c>
      <c r="C2242" t="str">
        <f>"9097"</f>
        <v>9097</v>
      </c>
      <c r="E2242" t="s">
        <v>3523</v>
      </c>
      <c r="F2242" t="s">
        <v>24</v>
      </c>
      <c r="G2242" t="s">
        <v>6011</v>
      </c>
      <c r="H2242" t="s">
        <v>17</v>
      </c>
      <c r="I2242" t="s">
        <v>18</v>
      </c>
      <c r="J2242" t="str">
        <f>"4389270653"</f>
        <v>4389270653</v>
      </c>
      <c r="K2242" t="s">
        <v>8216</v>
      </c>
      <c r="L2242" t="s">
        <v>27</v>
      </c>
      <c r="M2242" t="s">
        <v>21</v>
      </c>
    </row>
    <row r="2243" spans="1:13" x14ac:dyDescent="0.35">
      <c r="A2243" t="str">
        <f>"208-3242"</f>
        <v>208-3242</v>
      </c>
      <c r="B2243" t="s">
        <v>8217</v>
      </c>
      <c r="C2243" t="str">
        <f>"6574"</f>
        <v>6574</v>
      </c>
      <c r="E2243" t="s">
        <v>8218</v>
      </c>
      <c r="F2243" t="s">
        <v>24</v>
      </c>
      <c r="G2243" t="s">
        <v>8219</v>
      </c>
      <c r="H2243" t="s">
        <v>17</v>
      </c>
      <c r="I2243" t="s">
        <v>18</v>
      </c>
      <c r="J2243" t="str">
        <f>"4389285212"</f>
        <v>4389285212</v>
      </c>
      <c r="K2243" t="s">
        <v>8220</v>
      </c>
      <c r="L2243" t="s">
        <v>27</v>
      </c>
      <c r="M2243" t="s">
        <v>21</v>
      </c>
    </row>
    <row r="2244" spans="1:13" x14ac:dyDescent="0.35">
      <c r="A2244" t="str">
        <f>"208-8562"</f>
        <v>208-8562</v>
      </c>
      <c r="B2244" t="s">
        <v>8221</v>
      </c>
      <c r="C2244" t="str">
        <f>"524"</f>
        <v>524</v>
      </c>
      <c r="D2244" t="str">
        <f>"7"</f>
        <v>7</v>
      </c>
      <c r="E2244" t="s">
        <v>781</v>
      </c>
      <c r="F2244" t="s">
        <v>24</v>
      </c>
      <c r="G2244" t="s">
        <v>8222</v>
      </c>
      <c r="H2244" t="s">
        <v>17</v>
      </c>
      <c r="I2244" t="s">
        <v>18</v>
      </c>
      <c r="J2244" t="str">
        <f>"5144652704"</f>
        <v>5144652704</v>
      </c>
      <c r="K2244" t="s">
        <v>8223</v>
      </c>
      <c r="L2244" t="s">
        <v>39</v>
      </c>
      <c r="M2244" t="s">
        <v>21</v>
      </c>
    </row>
    <row r="2245" spans="1:13" x14ac:dyDescent="0.35">
      <c r="A2245" t="str">
        <f>"249-0104"</f>
        <v>249-0104</v>
      </c>
      <c r="B2245" t="s">
        <v>8224</v>
      </c>
      <c r="C2245" t="str">
        <f>"305"</f>
        <v>305</v>
      </c>
      <c r="E2245" t="s">
        <v>8225</v>
      </c>
      <c r="F2245" t="s">
        <v>8226</v>
      </c>
      <c r="G2245" t="s">
        <v>8227</v>
      </c>
      <c r="H2245" t="s">
        <v>17</v>
      </c>
      <c r="I2245" t="s">
        <v>18</v>
      </c>
      <c r="J2245" t="str">
        <f>"4188142006"</f>
        <v>4188142006</v>
      </c>
      <c r="K2245" t="s">
        <v>8228</v>
      </c>
      <c r="L2245" t="s">
        <v>2316</v>
      </c>
      <c r="M2245" t="s">
        <v>21</v>
      </c>
    </row>
    <row r="2246" spans="1:13" x14ac:dyDescent="0.35">
      <c r="A2246" t="str">
        <f>"628-9064"</f>
        <v>628-9064</v>
      </c>
      <c r="B2246" t="s">
        <v>8229</v>
      </c>
      <c r="C2246" t="str">
        <f>"838"</f>
        <v>838</v>
      </c>
      <c r="E2246" t="s">
        <v>8230</v>
      </c>
      <c r="F2246" t="s">
        <v>40</v>
      </c>
      <c r="G2246" t="s">
        <v>8231</v>
      </c>
      <c r="H2246" t="s">
        <v>17</v>
      </c>
      <c r="I2246" t="s">
        <v>18</v>
      </c>
      <c r="J2246" t="str">
        <f>"5146632142"</f>
        <v>5146632142</v>
      </c>
      <c r="K2246" t="s">
        <v>8232</v>
      </c>
      <c r="L2246" t="s">
        <v>396</v>
      </c>
      <c r="M2246" t="s">
        <v>21</v>
      </c>
    </row>
    <row r="2247" spans="1:13" x14ac:dyDescent="0.35">
      <c r="A2247" t="str">
        <f>"628-9220"</f>
        <v>628-9220</v>
      </c>
      <c r="B2247" t="s">
        <v>8233</v>
      </c>
      <c r="C2247" t="str">
        <f>"2724"</f>
        <v>2724</v>
      </c>
      <c r="E2247" t="s">
        <v>8234</v>
      </c>
      <c r="F2247" t="s">
        <v>24</v>
      </c>
      <c r="G2247" t="s">
        <v>872</v>
      </c>
      <c r="H2247" t="s">
        <v>17</v>
      </c>
      <c r="I2247" t="s">
        <v>18</v>
      </c>
      <c r="J2247" t="str">
        <f>"5149130324"</f>
        <v>5149130324</v>
      </c>
      <c r="K2247" t="s">
        <v>8235</v>
      </c>
      <c r="L2247" t="s">
        <v>86</v>
      </c>
      <c r="M2247" t="s">
        <v>21</v>
      </c>
    </row>
    <row r="2248" spans="1:13" x14ac:dyDescent="0.35">
      <c r="A2248" t="str">
        <f>"628-9339"</f>
        <v>628-9339</v>
      </c>
      <c r="B2248" t="s">
        <v>8236</v>
      </c>
      <c r="C2248" t="str">
        <f>"5225"</f>
        <v>5225</v>
      </c>
      <c r="E2248" t="s">
        <v>1163</v>
      </c>
      <c r="F2248" t="s">
        <v>24</v>
      </c>
      <c r="G2248" t="s">
        <v>8237</v>
      </c>
      <c r="H2248" t="s">
        <v>17</v>
      </c>
      <c r="I2248" t="s">
        <v>18</v>
      </c>
      <c r="J2248" t="str">
        <f>"5149625830"</f>
        <v>5149625830</v>
      </c>
      <c r="K2248" t="s">
        <v>8238</v>
      </c>
      <c r="L2248" t="s">
        <v>137</v>
      </c>
      <c r="M2248" t="s">
        <v>21</v>
      </c>
    </row>
    <row r="2249" spans="1:13" x14ac:dyDescent="0.35">
      <c r="A2249" t="str">
        <f>"629-0436"</f>
        <v>629-0436</v>
      </c>
      <c r="B2249" t="s">
        <v>8239</v>
      </c>
      <c r="C2249" t="str">
        <f>"10630"</f>
        <v>10630</v>
      </c>
      <c r="E2249" t="s">
        <v>8240</v>
      </c>
      <c r="F2249" t="s">
        <v>24</v>
      </c>
      <c r="G2249" t="s">
        <v>8241</v>
      </c>
      <c r="H2249" t="s">
        <v>17</v>
      </c>
      <c r="I2249" t="s">
        <v>18</v>
      </c>
      <c r="J2249" t="str">
        <f>"4383660127"</f>
        <v>4383660127</v>
      </c>
      <c r="K2249" t="s">
        <v>8242</v>
      </c>
      <c r="L2249" t="s">
        <v>86</v>
      </c>
      <c r="M2249" t="s">
        <v>21</v>
      </c>
    </row>
    <row r="2250" spans="1:13" x14ac:dyDescent="0.35">
      <c r="A2250" t="str">
        <f>"625-4490"</f>
        <v>625-4490</v>
      </c>
      <c r="B2250" t="s">
        <v>8243</v>
      </c>
      <c r="C2250" t="str">
        <f>"35"</f>
        <v>35</v>
      </c>
      <c r="E2250" t="s">
        <v>8244</v>
      </c>
      <c r="F2250" t="s">
        <v>8245</v>
      </c>
      <c r="G2250" t="s">
        <v>8246</v>
      </c>
      <c r="H2250" t="s">
        <v>17</v>
      </c>
      <c r="I2250" t="s">
        <v>18</v>
      </c>
      <c r="J2250" t="str">
        <f>"4384101050"</f>
        <v>4384101050</v>
      </c>
      <c r="K2250" t="s">
        <v>8247</v>
      </c>
      <c r="L2250" t="s">
        <v>20</v>
      </c>
      <c r="M2250" t="s">
        <v>21</v>
      </c>
    </row>
    <row r="2251" spans="1:13" x14ac:dyDescent="0.35">
      <c r="A2251" t="str">
        <f>"625-5916"</f>
        <v>625-5916</v>
      </c>
      <c r="B2251" t="s">
        <v>8248</v>
      </c>
      <c r="C2251" t="str">
        <f>"2075"</f>
        <v>2075</v>
      </c>
      <c r="D2251" t="str">
        <f>"2075"</f>
        <v>2075</v>
      </c>
      <c r="E2251" t="s">
        <v>4155</v>
      </c>
      <c r="F2251" t="s">
        <v>24</v>
      </c>
      <c r="G2251" t="s">
        <v>8249</v>
      </c>
      <c r="H2251" t="s">
        <v>17</v>
      </c>
      <c r="I2251" t="s">
        <v>18</v>
      </c>
      <c r="J2251" t="str">
        <f>"5146015011"</f>
        <v>5146015011</v>
      </c>
      <c r="K2251" t="s">
        <v>8250</v>
      </c>
      <c r="L2251" t="s">
        <v>86</v>
      </c>
      <c r="M2251" t="s">
        <v>21</v>
      </c>
    </row>
    <row r="2252" spans="1:13" x14ac:dyDescent="0.35">
      <c r="A2252" t="str">
        <f>"629-1753"</f>
        <v>629-1753</v>
      </c>
      <c r="B2252" t="s">
        <v>8251</v>
      </c>
      <c r="C2252" t="str">
        <f>"3280"</f>
        <v>3280</v>
      </c>
      <c r="D2252" t="str">
        <f>"103"</f>
        <v>103</v>
      </c>
      <c r="E2252" t="s">
        <v>8252</v>
      </c>
      <c r="F2252" t="s">
        <v>24</v>
      </c>
      <c r="G2252" t="s">
        <v>8253</v>
      </c>
      <c r="H2252" t="s">
        <v>17</v>
      </c>
      <c r="I2252" t="s">
        <v>18</v>
      </c>
      <c r="J2252" t="str">
        <f>"4383895980"</f>
        <v>4383895980</v>
      </c>
      <c r="K2252" t="s">
        <v>8254</v>
      </c>
      <c r="L2252" t="s">
        <v>396</v>
      </c>
      <c r="M2252" t="s">
        <v>21</v>
      </c>
    </row>
    <row r="2253" spans="1:13" x14ac:dyDescent="0.35">
      <c r="A2253" t="str">
        <f>"629-1807"</f>
        <v>629-1807</v>
      </c>
      <c r="B2253" t="s">
        <v>8255</v>
      </c>
      <c r="C2253" t="str">
        <f>"6870"</f>
        <v>6870</v>
      </c>
      <c r="D2253" t="str">
        <f>"201"</f>
        <v>201</v>
      </c>
      <c r="E2253" t="s">
        <v>1494</v>
      </c>
      <c r="F2253" t="s">
        <v>24</v>
      </c>
      <c r="G2253" t="s">
        <v>1495</v>
      </c>
      <c r="H2253" t="s">
        <v>17</v>
      </c>
      <c r="I2253" t="s">
        <v>18</v>
      </c>
      <c r="J2253" t="str">
        <f>"4382826952"</f>
        <v>4382826952</v>
      </c>
      <c r="K2253" t="s">
        <v>8256</v>
      </c>
      <c r="L2253" t="s">
        <v>137</v>
      </c>
      <c r="M2253" t="s">
        <v>21</v>
      </c>
    </row>
    <row r="2254" spans="1:13" x14ac:dyDescent="0.35">
      <c r="A2254" t="str">
        <f>"629-1951"</f>
        <v>629-1951</v>
      </c>
      <c r="B2254" t="s">
        <v>8257</v>
      </c>
      <c r="C2254" t="str">
        <f>"3120"</f>
        <v>3120</v>
      </c>
      <c r="E2254" t="s">
        <v>8258</v>
      </c>
      <c r="F2254" t="s">
        <v>54</v>
      </c>
      <c r="G2254" t="s">
        <v>8259</v>
      </c>
      <c r="H2254" t="s">
        <v>17</v>
      </c>
      <c r="I2254" t="s">
        <v>18</v>
      </c>
      <c r="J2254" t="str">
        <f>"5149094568"</f>
        <v>5149094568</v>
      </c>
      <c r="K2254" t="s">
        <v>8260</v>
      </c>
      <c r="L2254" t="s">
        <v>39</v>
      </c>
      <c r="M2254" t="s">
        <v>21</v>
      </c>
    </row>
    <row r="2255" spans="1:13" x14ac:dyDescent="0.35">
      <c r="A2255" t="str">
        <f>"629-2064"</f>
        <v>629-2064</v>
      </c>
      <c r="B2255" t="s">
        <v>8261</v>
      </c>
      <c r="C2255" t="str">
        <f>"118"</f>
        <v>118</v>
      </c>
      <c r="E2255" t="s">
        <v>8262</v>
      </c>
      <c r="F2255" t="s">
        <v>32</v>
      </c>
      <c r="G2255" t="s">
        <v>8263</v>
      </c>
      <c r="H2255" t="s">
        <v>17</v>
      </c>
      <c r="I2255" t="s">
        <v>18</v>
      </c>
      <c r="J2255" t="str">
        <f>"4385066280"</f>
        <v>4385066280</v>
      </c>
      <c r="K2255" t="s">
        <v>8264</v>
      </c>
      <c r="L2255" t="s">
        <v>86</v>
      </c>
      <c r="M2255" t="s">
        <v>21</v>
      </c>
    </row>
    <row r="2256" spans="1:13" x14ac:dyDescent="0.35">
      <c r="A2256" t="str">
        <f>"629-2241"</f>
        <v>629-2241</v>
      </c>
      <c r="B2256" t="s">
        <v>8265</v>
      </c>
      <c r="C2256" t="str">
        <f>"624"</f>
        <v>624</v>
      </c>
      <c r="E2256" t="s">
        <v>4348</v>
      </c>
      <c r="F2256" t="s">
        <v>157</v>
      </c>
      <c r="G2256" t="s">
        <v>4349</v>
      </c>
      <c r="H2256" t="s">
        <v>17</v>
      </c>
      <c r="I2256" t="s">
        <v>18</v>
      </c>
      <c r="J2256" t="str">
        <f>"5149719804"</f>
        <v>5149719804</v>
      </c>
      <c r="K2256" t="s">
        <v>8266</v>
      </c>
      <c r="L2256" t="s">
        <v>350</v>
      </c>
      <c r="M2256" t="s">
        <v>21</v>
      </c>
    </row>
    <row r="2257" spans="1:13" x14ac:dyDescent="0.35">
      <c r="A2257" t="str">
        <f>"629-2562"</f>
        <v>629-2562</v>
      </c>
      <c r="B2257" t="s">
        <v>8267</v>
      </c>
      <c r="C2257" t="str">
        <f>"405"</f>
        <v>405</v>
      </c>
      <c r="E2257" t="s">
        <v>8268</v>
      </c>
      <c r="F2257" t="s">
        <v>32</v>
      </c>
      <c r="G2257" t="s">
        <v>8269</v>
      </c>
      <c r="H2257" t="s">
        <v>17</v>
      </c>
      <c r="I2257" t="s">
        <v>18</v>
      </c>
      <c r="J2257" t="str">
        <f>"4385231599"</f>
        <v>4385231599</v>
      </c>
      <c r="K2257" t="s">
        <v>8270</v>
      </c>
      <c r="L2257" t="s">
        <v>27</v>
      </c>
      <c r="M2257" t="s">
        <v>21</v>
      </c>
    </row>
    <row r="2258" spans="1:13" x14ac:dyDescent="0.35">
      <c r="A2258" t="str">
        <f>"629-5999"</f>
        <v>629-5999</v>
      </c>
      <c r="B2258" t="s">
        <v>8271</v>
      </c>
      <c r="C2258" t="str">
        <f>"3565"</f>
        <v>3565</v>
      </c>
      <c r="E2258" t="s">
        <v>8272</v>
      </c>
      <c r="F2258" t="s">
        <v>157</v>
      </c>
      <c r="G2258" t="s">
        <v>8273</v>
      </c>
      <c r="H2258" t="s">
        <v>17</v>
      </c>
      <c r="I2258" t="s">
        <v>18</v>
      </c>
      <c r="J2258" t="str">
        <f>"4383764356"</f>
        <v>4383764356</v>
      </c>
      <c r="K2258" t="s">
        <v>8274</v>
      </c>
      <c r="L2258" t="s">
        <v>466</v>
      </c>
      <c r="M2258" t="s">
        <v>21</v>
      </c>
    </row>
    <row r="2259" spans="1:13" x14ac:dyDescent="0.35">
      <c r="A2259" t="str">
        <f>"629-6627"</f>
        <v>629-6627</v>
      </c>
      <c r="B2259" t="s">
        <v>8275</v>
      </c>
      <c r="C2259" t="str">
        <f>"154"</f>
        <v>154</v>
      </c>
      <c r="E2259" t="s">
        <v>8276</v>
      </c>
      <c r="F2259" t="s">
        <v>32</v>
      </c>
      <c r="G2259" t="s">
        <v>8277</v>
      </c>
      <c r="H2259" t="s">
        <v>17</v>
      </c>
      <c r="I2259" t="s">
        <v>18</v>
      </c>
      <c r="J2259" t="str">
        <f>"5146254525"</f>
        <v>5146254525</v>
      </c>
      <c r="K2259" t="s">
        <v>8278</v>
      </c>
      <c r="L2259" t="s">
        <v>27</v>
      </c>
      <c r="M2259" t="s">
        <v>21</v>
      </c>
    </row>
    <row r="2260" spans="1:13" x14ac:dyDescent="0.35">
      <c r="A2260" t="str">
        <f>"629-6979"</f>
        <v>629-6979</v>
      </c>
      <c r="B2260" t="s">
        <v>8279</v>
      </c>
      <c r="C2260" t="str">
        <f>"3509"</f>
        <v>3509</v>
      </c>
      <c r="E2260" t="s">
        <v>8280</v>
      </c>
      <c r="F2260" t="s">
        <v>24</v>
      </c>
      <c r="G2260" t="s">
        <v>8281</v>
      </c>
      <c r="H2260" t="s">
        <v>17</v>
      </c>
      <c r="I2260" t="s">
        <v>18</v>
      </c>
      <c r="J2260" t="str">
        <f>"5143469198"</f>
        <v>5143469198</v>
      </c>
      <c r="K2260" t="s">
        <v>8282</v>
      </c>
      <c r="L2260" t="s">
        <v>220</v>
      </c>
      <c r="M2260" t="s">
        <v>21</v>
      </c>
    </row>
    <row r="2261" spans="1:13" x14ac:dyDescent="0.35">
      <c r="A2261" t="str">
        <f>"630-6857"</f>
        <v>630-6857</v>
      </c>
      <c r="B2261" t="s">
        <v>8283</v>
      </c>
      <c r="C2261" t="str">
        <f>"4450"</f>
        <v>4450</v>
      </c>
      <c r="E2261" t="s">
        <v>8284</v>
      </c>
      <c r="F2261" t="s">
        <v>24</v>
      </c>
      <c r="G2261" t="s">
        <v>8285</v>
      </c>
      <c r="H2261" t="s">
        <v>17</v>
      </c>
      <c r="I2261" t="s">
        <v>18</v>
      </c>
      <c r="J2261" t="str">
        <f>"5145829610"</f>
        <v>5145829610</v>
      </c>
      <c r="K2261" t="s">
        <v>8286</v>
      </c>
      <c r="L2261" t="s">
        <v>86</v>
      </c>
      <c r="M2261" t="s">
        <v>21</v>
      </c>
    </row>
    <row r="2262" spans="1:13" x14ac:dyDescent="0.35">
      <c r="A2262" t="str">
        <f>"630-6876"</f>
        <v>630-6876</v>
      </c>
      <c r="B2262" t="s">
        <v>8287</v>
      </c>
      <c r="C2262" t="str">
        <f>"70"</f>
        <v>70</v>
      </c>
      <c r="E2262" t="s">
        <v>8288</v>
      </c>
      <c r="F2262" t="s">
        <v>1155</v>
      </c>
      <c r="G2262" t="s">
        <v>1156</v>
      </c>
      <c r="H2262" t="s">
        <v>17</v>
      </c>
      <c r="I2262" t="s">
        <v>18</v>
      </c>
      <c r="J2262" t="str">
        <f>"4383780384"</f>
        <v>4383780384</v>
      </c>
      <c r="K2262" t="s">
        <v>8289</v>
      </c>
      <c r="L2262" t="s">
        <v>313</v>
      </c>
      <c r="M2262" t="s">
        <v>21</v>
      </c>
    </row>
    <row r="2263" spans="1:13" x14ac:dyDescent="0.35">
      <c r="A2263" t="str">
        <f>"630-7240"</f>
        <v>630-7240</v>
      </c>
      <c r="B2263" t="s">
        <v>8290</v>
      </c>
      <c r="C2263" t="str">
        <f>"137"</f>
        <v>137</v>
      </c>
      <c r="E2263" t="s">
        <v>2584</v>
      </c>
      <c r="F2263" t="s">
        <v>54</v>
      </c>
      <c r="G2263" t="s">
        <v>8291</v>
      </c>
      <c r="H2263" t="s">
        <v>17</v>
      </c>
      <c r="I2263" t="s">
        <v>18</v>
      </c>
      <c r="J2263" t="str">
        <f>"5145705383"</f>
        <v>5145705383</v>
      </c>
      <c r="K2263" t="s">
        <v>8292</v>
      </c>
      <c r="L2263" t="s">
        <v>396</v>
      </c>
      <c r="M2263" t="s">
        <v>21</v>
      </c>
    </row>
    <row r="2264" spans="1:13" x14ac:dyDescent="0.35">
      <c r="A2264" t="str">
        <f>"630-7307"</f>
        <v>630-7307</v>
      </c>
      <c r="B2264" t="s">
        <v>8293</v>
      </c>
      <c r="C2264" t="str">
        <f>"9055"</f>
        <v>9055</v>
      </c>
      <c r="D2264" t="str">
        <f>"6"</f>
        <v>6</v>
      </c>
      <c r="E2264" t="s">
        <v>597</v>
      </c>
      <c r="F2264" t="s">
        <v>24</v>
      </c>
      <c r="G2264" t="s">
        <v>7495</v>
      </c>
      <c r="H2264" t="s">
        <v>17</v>
      </c>
      <c r="I2264" t="s">
        <v>18</v>
      </c>
      <c r="J2264" t="str">
        <f>"4388612199"</f>
        <v>4388612199</v>
      </c>
      <c r="K2264" t="s">
        <v>8294</v>
      </c>
      <c r="L2264" t="s">
        <v>86</v>
      </c>
      <c r="M2264" t="s">
        <v>21</v>
      </c>
    </row>
    <row r="2265" spans="1:13" x14ac:dyDescent="0.35">
      <c r="A2265" t="str">
        <f>"630-7419"</f>
        <v>630-7419</v>
      </c>
      <c r="B2265" t="s">
        <v>8295</v>
      </c>
      <c r="C2265" t="str">
        <f>"2614"</f>
        <v>2614</v>
      </c>
      <c r="E2265" t="s">
        <v>1780</v>
      </c>
      <c r="F2265" t="s">
        <v>24</v>
      </c>
      <c r="G2265" t="s">
        <v>8296</v>
      </c>
      <c r="H2265" t="s">
        <v>17</v>
      </c>
      <c r="I2265" t="s">
        <v>18</v>
      </c>
      <c r="J2265" t="str">
        <f>"5148353202"</f>
        <v>5148353202</v>
      </c>
      <c r="K2265" t="s">
        <v>8297</v>
      </c>
      <c r="L2265" t="s">
        <v>466</v>
      </c>
      <c r="M2265" t="s">
        <v>21</v>
      </c>
    </row>
    <row r="2266" spans="1:13" x14ac:dyDescent="0.35">
      <c r="A2266" t="str">
        <f>"630-7383"</f>
        <v>630-7383</v>
      </c>
      <c r="B2266" t="s">
        <v>8298</v>
      </c>
      <c r="C2266" t="str">
        <f>"432"</f>
        <v>432</v>
      </c>
      <c r="E2266" t="s">
        <v>8299</v>
      </c>
      <c r="F2266" t="s">
        <v>54</v>
      </c>
      <c r="G2266" t="s">
        <v>8300</v>
      </c>
      <c r="H2266" t="s">
        <v>17</v>
      </c>
      <c r="I2266" t="s">
        <v>18</v>
      </c>
      <c r="J2266" t="str">
        <f>"5149919319"</f>
        <v>5149919319</v>
      </c>
      <c r="K2266" t="s">
        <v>8301</v>
      </c>
      <c r="L2266" t="s">
        <v>29</v>
      </c>
      <c r="M2266" t="s">
        <v>21</v>
      </c>
    </row>
    <row r="2267" spans="1:13" x14ac:dyDescent="0.35">
      <c r="A2267" t="str">
        <f>"630-7466"</f>
        <v>630-7466</v>
      </c>
      <c r="B2267" t="s">
        <v>8302</v>
      </c>
      <c r="C2267" t="str">
        <f>"7150"</f>
        <v>7150</v>
      </c>
      <c r="E2267" t="s">
        <v>8303</v>
      </c>
      <c r="F2267" t="s">
        <v>656</v>
      </c>
      <c r="G2267" t="s">
        <v>1160</v>
      </c>
      <c r="H2267" t="s">
        <v>17</v>
      </c>
      <c r="I2267" t="s">
        <v>18</v>
      </c>
      <c r="J2267" t="str">
        <f>"5144973635"</f>
        <v>5144973635</v>
      </c>
      <c r="K2267" t="s">
        <v>8304</v>
      </c>
      <c r="L2267" t="s">
        <v>86</v>
      </c>
      <c r="M2267" t="s">
        <v>21</v>
      </c>
    </row>
    <row r="2268" spans="1:13" x14ac:dyDescent="0.35">
      <c r="A2268" t="str">
        <f>"630-7499"</f>
        <v>630-7499</v>
      </c>
      <c r="B2268" t="s">
        <v>8305</v>
      </c>
      <c r="C2268" t="str">
        <f>"5157"</f>
        <v>5157</v>
      </c>
      <c r="E2268" t="s">
        <v>8306</v>
      </c>
      <c r="F2268" t="s">
        <v>24</v>
      </c>
      <c r="G2268" t="s">
        <v>8307</v>
      </c>
      <c r="H2268" t="s">
        <v>17</v>
      </c>
      <c r="I2268" t="s">
        <v>18</v>
      </c>
      <c r="J2268" t="str">
        <f>"5147396251"</f>
        <v>5147396251</v>
      </c>
      <c r="K2268" t="s">
        <v>8308</v>
      </c>
      <c r="L2268" t="s">
        <v>86</v>
      </c>
      <c r="M2268" t="s">
        <v>21</v>
      </c>
    </row>
    <row r="2269" spans="1:13" x14ac:dyDescent="0.35">
      <c r="A2269" t="str">
        <f>"631-0026"</f>
        <v>631-0026</v>
      </c>
      <c r="B2269" t="s">
        <v>8309</v>
      </c>
      <c r="C2269" t="str">
        <f>"8571"</f>
        <v>8571</v>
      </c>
      <c r="E2269" t="s">
        <v>2915</v>
      </c>
      <c r="F2269" t="s">
        <v>24</v>
      </c>
      <c r="G2269" t="s">
        <v>8310</v>
      </c>
      <c r="H2269" t="s">
        <v>17</v>
      </c>
      <c r="I2269" t="s">
        <v>18</v>
      </c>
      <c r="J2269" t="str">
        <f>"4389983125"</f>
        <v>4389983125</v>
      </c>
      <c r="K2269" t="s">
        <v>8311</v>
      </c>
      <c r="L2269" t="s">
        <v>86</v>
      </c>
      <c r="M2269" t="s">
        <v>21</v>
      </c>
    </row>
    <row r="2270" spans="1:13" x14ac:dyDescent="0.35">
      <c r="A2270" t="str">
        <f>"631-0364"</f>
        <v>631-0364</v>
      </c>
      <c r="B2270" t="s">
        <v>8312</v>
      </c>
      <c r="C2270" t="str">
        <f>"2144"</f>
        <v>2144</v>
      </c>
      <c r="E2270" t="s">
        <v>1610</v>
      </c>
      <c r="F2270" t="s">
        <v>24</v>
      </c>
      <c r="G2270" t="s">
        <v>8313</v>
      </c>
      <c r="H2270" t="s">
        <v>17</v>
      </c>
      <c r="I2270" t="s">
        <v>18</v>
      </c>
      <c r="J2270" t="str">
        <f>"5146514494"</f>
        <v>5146514494</v>
      </c>
      <c r="K2270" t="s">
        <v>8314</v>
      </c>
      <c r="L2270" t="s">
        <v>86</v>
      </c>
      <c r="M2270" t="s">
        <v>21</v>
      </c>
    </row>
    <row r="2271" spans="1:13" x14ac:dyDescent="0.35">
      <c r="A2271" t="str">
        <f>"631-0478"</f>
        <v>631-0478</v>
      </c>
      <c r="B2271" t="s">
        <v>8315</v>
      </c>
      <c r="C2271" t="str">
        <f>"6667"</f>
        <v>6667</v>
      </c>
      <c r="E2271" t="s">
        <v>553</v>
      </c>
      <c r="F2271" t="s">
        <v>24</v>
      </c>
      <c r="G2271" t="s">
        <v>1662</v>
      </c>
      <c r="H2271" t="s">
        <v>17</v>
      </c>
      <c r="I2271" t="s">
        <v>18</v>
      </c>
      <c r="J2271" t="str">
        <f>"5147163031"</f>
        <v>5147163031</v>
      </c>
      <c r="K2271" t="s">
        <v>8316</v>
      </c>
      <c r="L2271" t="s">
        <v>383</v>
      </c>
      <c r="M2271" t="s">
        <v>21</v>
      </c>
    </row>
    <row r="2272" spans="1:13" x14ac:dyDescent="0.35">
      <c r="A2272" t="str">
        <f>"632-3071"</f>
        <v>632-3071</v>
      </c>
      <c r="B2272" t="s">
        <v>8317</v>
      </c>
      <c r="C2272" t="str">
        <f>"4680"</f>
        <v>4680</v>
      </c>
      <c r="D2272" t="str">
        <f>"6"</f>
        <v>6</v>
      </c>
      <c r="E2272" t="s">
        <v>8318</v>
      </c>
      <c r="F2272" t="s">
        <v>24</v>
      </c>
      <c r="G2272" t="s">
        <v>8319</v>
      </c>
      <c r="H2272" t="s">
        <v>17</v>
      </c>
      <c r="I2272" t="s">
        <v>18</v>
      </c>
      <c r="J2272" t="str">
        <f>"4383666832"</f>
        <v>4383666832</v>
      </c>
      <c r="K2272" t="s">
        <v>8320</v>
      </c>
      <c r="L2272" t="s">
        <v>220</v>
      </c>
      <c r="M2272" t="s">
        <v>21</v>
      </c>
    </row>
    <row r="2273" spans="1:13" x14ac:dyDescent="0.35">
      <c r="A2273" t="str">
        <f>"632-3359"</f>
        <v>632-3359</v>
      </c>
      <c r="B2273" t="s">
        <v>8321</v>
      </c>
      <c r="C2273" t="str">
        <f>"5301"</f>
        <v>5301</v>
      </c>
      <c r="D2273" t="str">
        <f>"1"</f>
        <v>1</v>
      </c>
      <c r="E2273" t="s">
        <v>3428</v>
      </c>
      <c r="F2273" t="s">
        <v>24</v>
      </c>
      <c r="G2273" t="s">
        <v>8322</v>
      </c>
      <c r="H2273" t="s">
        <v>17</v>
      </c>
      <c r="I2273" t="s">
        <v>18</v>
      </c>
      <c r="J2273" t="str">
        <f>"4389885311"</f>
        <v>4389885311</v>
      </c>
      <c r="K2273" t="s">
        <v>8323</v>
      </c>
      <c r="L2273" t="s">
        <v>220</v>
      </c>
      <c r="M2273" t="s">
        <v>21</v>
      </c>
    </row>
    <row r="2274" spans="1:13" x14ac:dyDescent="0.35">
      <c r="A2274" t="str">
        <f>"632-3366"</f>
        <v>632-3366</v>
      </c>
      <c r="B2274" t="s">
        <v>8324</v>
      </c>
      <c r="C2274" t="str">
        <f>"5501"</f>
        <v>5501</v>
      </c>
      <c r="D2274" t="str">
        <f>"320"</f>
        <v>320</v>
      </c>
      <c r="E2274" t="s">
        <v>8325</v>
      </c>
      <c r="F2274" t="s">
        <v>2880</v>
      </c>
      <c r="G2274" t="s">
        <v>8326</v>
      </c>
      <c r="H2274" t="s">
        <v>17</v>
      </c>
      <c r="I2274" t="s">
        <v>18</v>
      </c>
      <c r="J2274" t="str">
        <f>"4385054580"</f>
        <v>4385054580</v>
      </c>
      <c r="K2274" t="s">
        <v>8327</v>
      </c>
      <c r="L2274" t="s">
        <v>86</v>
      </c>
      <c r="M2274" t="s">
        <v>21</v>
      </c>
    </row>
    <row r="2275" spans="1:13" x14ac:dyDescent="0.35">
      <c r="A2275" t="str">
        <f>"632-3517"</f>
        <v>632-3517</v>
      </c>
      <c r="B2275" t="s">
        <v>8328</v>
      </c>
      <c r="C2275" t="str">
        <f>"2620"</f>
        <v>2620</v>
      </c>
      <c r="D2275" t="str">
        <f>"201"</f>
        <v>201</v>
      </c>
      <c r="E2275" t="s">
        <v>8329</v>
      </c>
      <c r="F2275" t="s">
        <v>24</v>
      </c>
      <c r="G2275" t="s">
        <v>8330</v>
      </c>
      <c r="H2275" t="s">
        <v>17</v>
      </c>
      <c r="I2275" t="s">
        <v>18</v>
      </c>
      <c r="J2275" t="str">
        <f>"4385258460"</f>
        <v>4385258460</v>
      </c>
      <c r="K2275" t="s">
        <v>8331</v>
      </c>
      <c r="L2275" t="s">
        <v>396</v>
      </c>
      <c r="M2275" t="s">
        <v>21</v>
      </c>
    </row>
    <row r="2276" spans="1:13" x14ac:dyDescent="0.35">
      <c r="A2276" t="str">
        <f>"632-3587"</f>
        <v>632-3587</v>
      </c>
      <c r="B2276" t="s">
        <v>8332</v>
      </c>
      <c r="C2276" t="str">
        <f>"4827"</f>
        <v>4827</v>
      </c>
      <c r="D2276" t="str">
        <f>"8"</f>
        <v>8</v>
      </c>
      <c r="E2276" t="s">
        <v>3259</v>
      </c>
      <c r="F2276" t="s">
        <v>24</v>
      </c>
      <c r="G2276" t="s">
        <v>8333</v>
      </c>
      <c r="H2276" t="s">
        <v>17</v>
      </c>
      <c r="I2276" t="s">
        <v>18</v>
      </c>
      <c r="J2276" t="str">
        <f>"5145533202"</f>
        <v>5145533202</v>
      </c>
      <c r="K2276" t="s">
        <v>8334</v>
      </c>
      <c r="L2276" t="s">
        <v>383</v>
      </c>
      <c r="M2276" t="s">
        <v>21</v>
      </c>
    </row>
    <row r="2277" spans="1:13" x14ac:dyDescent="0.35">
      <c r="A2277" t="str">
        <f>"628-7783"</f>
        <v>628-7783</v>
      </c>
      <c r="B2277" t="s">
        <v>8335</v>
      </c>
      <c r="C2277" t="str">
        <f>"70"</f>
        <v>70</v>
      </c>
      <c r="E2277" t="s">
        <v>8336</v>
      </c>
      <c r="F2277" t="s">
        <v>6856</v>
      </c>
      <c r="G2277" t="s">
        <v>8337</v>
      </c>
      <c r="H2277" t="s">
        <v>17</v>
      </c>
      <c r="I2277" t="s">
        <v>18</v>
      </c>
      <c r="J2277" t="str">
        <f>"5144430184"</f>
        <v>5144430184</v>
      </c>
      <c r="K2277" t="s">
        <v>8338</v>
      </c>
      <c r="L2277" t="s">
        <v>198</v>
      </c>
      <c r="M2277" t="s">
        <v>21</v>
      </c>
    </row>
    <row r="2278" spans="1:13" x14ac:dyDescent="0.35">
      <c r="A2278" t="str">
        <f>"628-8120"</f>
        <v>628-8120</v>
      </c>
      <c r="B2278" t="s">
        <v>8339</v>
      </c>
      <c r="C2278" t="str">
        <f>"10908"</f>
        <v>10908</v>
      </c>
      <c r="E2278" t="s">
        <v>3263</v>
      </c>
      <c r="F2278" t="s">
        <v>24</v>
      </c>
      <c r="G2278" t="s">
        <v>8340</v>
      </c>
      <c r="H2278" t="s">
        <v>17</v>
      </c>
      <c r="I2278" t="s">
        <v>18</v>
      </c>
      <c r="J2278" t="str">
        <f>"5145897355"</f>
        <v>5145897355</v>
      </c>
      <c r="K2278" t="s">
        <v>8341</v>
      </c>
      <c r="L2278" t="s">
        <v>86</v>
      </c>
      <c r="M2278" t="s">
        <v>21</v>
      </c>
    </row>
    <row r="2279" spans="1:13" x14ac:dyDescent="0.35">
      <c r="A2279" t="str">
        <f>"628-8137"</f>
        <v>628-8137</v>
      </c>
      <c r="B2279" t="s">
        <v>8342</v>
      </c>
      <c r="C2279" t="str">
        <f>"4827"</f>
        <v>4827</v>
      </c>
      <c r="D2279" t="str">
        <f>"4"</f>
        <v>4</v>
      </c>
      <c r="E2279" t="s">
        <v>3259</v>
      </c>
      <c r="F2279" t="s">
        <v>24</v>
      </c>
      <c r="G2279" t="s">
        <v>8333</v>
      </c>
      <c r="H2279" t="s">
        <v>17</v>
      </c>
      <c r="I2279" t="s">
        <v>18</v>
      </c>
      <c r="J2279" t="str">
        <f>"5145224834"</f>
        <v>5145224834</v>
      </c>
      <c r="K2279" t="s">
        <v>8343</v>
      </c>
      <c r="L2279" t="s">
        <v>2316</v>
      </c>
      <c r="M2279" t="s">
        <v>21</v>
      </c>
    </row>
    <row r="2280" spans="1:13" x14ac:dyDescent="0.35">
      <c r="A2280" t="str">
        <f>"628-8616"</f>
        <v>628-8616</v>
      </c>
      <c r="B2280" t="s">
        <v>8344</v>
      </c>
      <c r="C2280" t="str">
        <f>"9"</f>
        <v>9</v>
      </c>
      <c r="D2280" t="str">
        <f>"3"</f>
        <v>3</v>
      </c>
      <c r="E2280" t="s">
        <v>8345</v>
      </c>
      <c r="F2280" t="s">
        <v>8346</v>
      </c>
      <c r="G2280" t="s">
        <v>8347</v>
      </c>
      <c r="H2280" t="s">
        <v>17</v>
      </c>
      <c r="I2280" t="s">
        <v>18</v>
      </c>
      <c r="J2280" t="str">
        <f>"5812301017"</f>
        <v>5812301017</v>
      </c>
      <c r="K2280" t="s">
        <v>8348</v>
      </c>
      <c r="L2280" t="s">
        <v>20</v>
      </c>
      <c r="M2280" t="s">
        <v>21</v>
      </c>
    </row>
    <row r="2281" spans="1:13" x14ac:dyDescent="0.35">
      <c r="A2281" t="str">
        <f>"629-9501"</f>
        <v>629-9501</v>
      </c>
      <c r="B2281" t="s">
        <v>8349</v>
      </c>
      <c r="C2281" t="str">
        <f>"5855"</f>
        <v>5855</v>
      </c>
      <c r="D2281" t="str">
        <f>"7"</f>
        <v>7</v>
      </c>
      <c r="E2281" t="s">
        <v>260</v>
      </c>
      <c r="F2281" t="s">
        <v>24</v>
      </c>
      <c r="G2281" t="s">
        <v>8350</v>
      </c>
      <c r="H2281" t="s">
        <v>17</v>
      </c>
      <c r="I2281" t="s">
        <v>18</v>
      </c>
      <c r="J2281" t="str">
        <f>"4383937463"</f>
        <v>4383937463</v>
      </c>
      <c r="K2281" t="s">
        <v>8351</v>
      </c>
      <c r="L2281" t="s">
        <v>869</v>
      </c>
      <c r="M2281" t="s">
        <v>21</v>
      </c>
    </row>
    <row r="2282" spans="1:13" x14ac:dyDescent="0.35">
      <c r="A2282" t="str">
        <f>"630-0361"</f>
        <v>630-0361</v>
      </c>
      <c r="B2282" t="s">
        <v>8352</v>
      </c>
      <c r="C2282" t="str">
        <f>"5759"</f>
        <v>5759</v>
      </c>
      <c r="E2282" t="s">
        <v>8353</v>
      </c>
      <c r="F2282" t="s">
        <v>24</v>
      </c>
      <c r="G2282" t="s">
        <v>8354</v>
      </c>
      <c r="H2282" t="s">
        <v>17</v>
      </c>
      <c r="I2282" t="s">
        <v>18</v>
      </c>
      <c r="J2282" t="str">
        <f>"5147146079"</f>
        <v>5147146079</v>
      </c>
      <c r="K2282" t="s">
        <v>8355</v>
      </c>
      <c r="L2282" t="s">
        <v>193</v>
      </c>
      <c r="M2282" t="s">
        <v>21</v>
      </c>
    </row>
    <row r="2283" spans="1:13" x14ac:dyDescent="0.35">
      <c r="A2283" t="str">
        <f>"630-0455"</f>
        <v>630-0455</v>
      </c>
      <c r="B2283" t="s">
        <v>8356</v>
      </c>
      <c r="C2283" t="str">
        <f>"1388"</f>
        <v>1388</v>
      </c>
      <c r="E2283" t="s">
        <v>8357</v>
      </c>
      <c r="F2283" t="s">
        <v>4054</v>
      </c>
      <c r="G2283" t="s">
        <v>8358</v>
      </c>
      <c r="H2283" t="s">
        <v>17</v>
      </c>
      <c r="I2283" t="s">
        <v>18</v>
      </c>
      <c r="J2283" t="str">
        <f>"5147147091"</f>
        <v>5147147091</v>
      </c>
      <c r="K2283" t="s">
        <v>8359</v>
      </c>
      <c r="L2283" t="s">
        <v>383</v>
      </c>
      <c r="M2283" t="s">
        <v>21</v>
      </c>
    </row>
    <row r="2284" spans="1:13" x14ac:dyDescent="0.35">
      <c r="A2284" t="str">
        <f>"188-0698"</f>
        <v>188-0698</v>
      </c>
      <c r="B2284" t="s">
        <v>8360</v>
      </c>
      <c r="C2284" t="str">
        <f>"126"</f>
        <v>126</v>
      </c>
      <c r="E2284" t="s">
        <v>8361</v>
      </c>
      <c r="F2284" t="s">
        <v>7178</v>
      </c>
      <c r="G2284" t="s">
        <v>8362</v>
      </c>
      <c r="H2284" t="s">
        <v>17</v>
      </c>
      <c r="I2284" t="s">
        <v>18</v>
      </c>
      <c r="J2284" t="str">
        <f>"4504950923"</f>
        <v>4504950923</v>
      </c>
      <c r="K2284" t="s">
        <v>8363</v>
      </c>
      <c r="L2284" t="s">
        <v>198</v>
      </c>
      <c r="M2284" t="s">
        <v>21</v>
      </c>
    </row>
    <row r="2285" spans="1:13" x14ac:dyDescent="0.35">
      <c r="A2285" t="str">
        <f>"206-0196"</f>
        <v>206-0196</v>
      </c>
      <c r="B2285" t="s">
        <v>8364</v>
      </c>
      <c r="C2285" t="str">
        <f>"2725"</f>
        <v>2725</v>
      </c>
      <c r="D2285" t="str">
        <f>"12"</f>
        <v>12</v>
      </c>
      <c r="E2285" t="s">
        <v>632</v>
      </c>
      <c r="F2285" t="s">
        <v>24</v>
      </c>
      <c r="G2285" t="s">
        <v>8365</v>
      </c>
      <c r="H2285" t="s">
        <v>17</v>
      </c>
      <c r="I2285" t="s">
        <v>18</v>
      </c>
      <c r="J2285" t="str">
        <f>"8197631136"</f>
        <v>8197631136</v>
      </c>
      <c r="K2285" t="s">
        <v>8366</v>
      </c>
      <c r="L2285" t="s">
        <v>350</v>
      </c>
      <c r="M2285" t="s">
        <v>21</v>
      </c>
    </row>
    <row r="2286" spans="1:13" x14ac:dyDescent="0.35">
      <c r="A2286" t="str">
        <f>"207-0401"</f>
        <v>207-0401</v>
      </c>
      <c r="B2286" t="s">
        <v>8367</v>
      </c>
      <c r="C2286" t="str">
        <f>"126"</f>
        <v>126</v>
      </c>
      <c r="E2286" t="s">
        <v>286</v>
      </c>
      <c r="F2286" t="s">
        <v>2580</v>
      </c>
      <c r="G2286" t="s">
        <v>8368</v>
      </c>
      <c r="H2286" t="s">
        <v>17</v>
      </c>
      <c r="I2286" t="s">
        <v>18</v>
      </c>
      <c r="J2286" t="str">
        <f>"5148951471"</f>
        <v>5148951471</v>
      </c>
      <c r="K2286" t="s">
        <v>8369</v>
      </c>
      <c r="L2286" t="s">
        <v>86</v>
      </c>
      <c r="M2286" t="s">
        <v>21</v>
      </c>
    </row>
    <row r="2287" spans="1:13" x14ac:dyDescent="0.35">
      <c r="A2287" t="str">
        <f>"207-4879"</f>
        <v>207-4879</v>
      </c>
      <c r="B2287" t="s">
        <v>8370</v>
      </c>
      <c r="C2287" t="str">
        <f>"8752"</f>
        <v>8752</v>
      </c>
      <c r="E2287" t="s">
        <v>8371</v>
      </c>
      <c r="F2287" t="s">
        <v>24</v>
      </c>
      <c r="G2287" t="s">
        <v>8372</v>
      </c>
      <c r="H2287" t="s">
        <v>17</v>
      </c>
      <c r="I2287" t="s">
        <v>18</v>
      </c>
      <c r="J2287" t="str">
        <f>"5142363475"</f>
        <v>5142363475</v>
      </c>
      <c r="K2287" t="s">
        <v>8373</v>
      </c>
      <c r="L2287" t="s">
        <v>86</v>
      </c>
      <c r="M2287" t="s">
        <v>21</v>
      </c>
    </row>
    <row r="2288" spans="1:13" x14ac:dyDescent="0.35">
      <c r="A2288" t="str">
        <f>"217-1212"</f>
        <v>217-1212</v>
      </c>
      <c r="B2288" t="s">
        <v>8374</v>
      </c>
      <c r="C2288" t="str">
        <f>"8377"</f>
        <v>8377</v>
      </c>
      <c r="E2288" t="s">
        <v>6882</v>
      </c>
      <c r="F2288" t="s">
        <v>256</v>
      </c>
      <c r="G2288" t="s">
        <v>8375</v>
      </c>
      <c r="H2288" t="s">
        <v>17</v>
      </c>
      <c r="I2288" t="s">
        <v>18</v>
      </c>
      <c r="J2288" t="str">
        <f>"4384973194"</f>
        <v>4384973194</v>
      </c>
      <c r="K2288" t="s">
        <v>8376</v>
      </c>
      <c r="L2288" t="s">
        <v>350</v>
      </c>
      <c r="M2288" t="s">
        <v>21</v>
      </c>
    </row>
    <row r="2289" spans="1:13" x14ac:dyDescent="0.35">
      <c r="A2289" t="str">
        <f>"217-8242"</f>
        <v>217-8242</v>
      </c>
      <c r="B2289" t="s">
        <v>8377</v>
      </c>
      <c r="C2289" t="str">
        <f>"10000"</f>
        <v>10000</v>
      </c>
      <c r="D2289" t="str">
        <f>"4"</f>
        <v>4</v>
      </c>
      <c r="E2289" t="s">
        <v>1468</v>
      </c>
      <c r="F2289" t="s">
        <v>24</v>
      </c>
      <c r="G2289" t="s">
        <v>1469</v>
      </c>
      <c r="H2289" t="s">
        <v>17</v>
      </c>
      <c r="I2289" t="s">
        <v>18</v>
      </c>
      <c r="J2289" t="str">
        <f>"4387254661"</f>
        <v>4387254661</v>
      </c>
      <c r="K2289" t="s">
        <v>8378</v>
      </c>
      <c r="L2289" t="s">
        <v>168</v>
      </c>
      <c r="M2289" t="s">
        <v>21</v>
      </c>
    </row>
    <row r="2290" spans="1:13" x14ac:dyDescent="0.35">
      <c r="A2290" t="str">
        <f>"217-8477"</f>
        <v>217-8477</v>
      </c>
      <c r="B2290" t="s">
        <v>8379</v>
      </c>
      <c r="C2290" t="str">
        <f>"11615"</f>
        <v>11615</v>
      </c>
      <c r="E2290" t="s">
        <v>6057</v>
      </c>
      <c r="F2290" t="s">
        <v>24</v>
      </c>
      <c r="G2290" t="s">
        <v>8380</v>
      </c>
      <c r="H2290" t="s">
        <v>17</v>
      </c>
      <c r="I2290" t="s">
        <v>18</v>
      </c>
      <c r="J2290" t="str">
        <f>"5149169544"</f>
        <v>5149169544</v>
      </c>
      <c r="K2290" t="s">
        <v>8381</v>
      </c>
      <c r="L2290" t="s">
        <v>396</v>
      </c>
      <c r="M2290" t="s">
        <v>21</v>
      </c>
    </row>
    <row r="2291" spans="1:13" x14ac:dyDescent="0.35">
      <c r="A2291" t="str">
        <f>"217-9656"</f>
        <v>217-9656</v>
      </c>
      <c r="B2291" t="s">
        <v>8382</v>
      </c>
      <c r="C2291" t="str">
        <f>"44"</f>
        <v>44</v>
      </c>
      <c r="E2291" t="s">
        <v>8383</v>
      </c>
      <c r="F2291" t="s">
        <v>8384</v>
      </c>
      <c r="G2291" t="s">
        <v>8385</v>
      </c>
      <c r="H2291" t="s">
        <v>17</v>
      </c>
      <c r="I2291" t="s">
        <v>18</v>
      </c>
      <c r="J2291" t="str">
        <f>"5149742187"</f>
        <v>5149742187</v>
      </c>
      <c r="K2291" t="s">
        <v>8386</v>
      </c>
      <c r="L2291" t="s">
        <v>137</v>
      </c>
      <c r="M2291" t="s">
        <v>21</v>
      </c>
    </row>
    <row r="2292" spans="1:13" x14ac:dyDescent="0.35">
      <c r="A2292" t="str">
        <f>"228-4682"</f>
        <v>228-4682</v>
      </c>
      <c r="B2292" t="s">
        <v>8387</v>
      </c>
      <c r="C2292" t="str">
        <f>"1665"</f>
        <v>1665</v>
      </c>
      <c r="E2292" t="s">
        <v>5462</v>
      </c>
      <c r="F2292" t="s">
        <v>24</v>
      </c>
      <c r="G2292" t="s">
        <v>5463</v>
      </c>
      <c r="H2292" t="s">
        <v>17</v>
      </c>
      <c r="I2292" t="s">
        <v>18</v>
      </c>
      <c r="J2292" t="str">
        <f>"4389888897"</f>
        <v>4389888897</v>
      </c>
      <c r="K2292" t="s">
        <v>8388</v>
      </c>
      <c r="L2292" t="s">
        <v>305</v>
      </c>
      <c r="M2292" t="s">
        <v>21</v>
      </c>
    </row>
    <row r="2293" spans="1:13" x14ac:dyDescent="0.35">
      <c r="A2293" t="str">
        <f>"228-5901"</f>
        <v>228-5901</v>
      </c>
      <c r="B2293" t="s">
        <v>8389</v>
      </c>
      <c r="C2293" t="str">
        <f>"324"</f>
        <v>324</v>
      </c>
      <c r="E2293" t="s">
        <v>8390</v>
      </c>
      <c r="F2293" t="s">
        <v>435</v>
      </c>
      <c r="G2293" t="s">
        <v>8391</v>
      </c>
      <c r="H2293" t="s">
        <v>17</v>
      </c>
      <c r="I2293" t="s">
        <v>18</v>
      </c>
      <c r="J2293" t="str">
        <f>"4383651878"</f>
        <v>4383651878</v>
      </c>
      <c r="K2293" t="s">
        <v>8392</v>
      </c>
      <c r="L2293" t="s">
        <v>86</v>
      </c>
      <c r="M2293" t="s">
        <v>21</v>
      </c>
    </row>
    <row r="2294" spans="1:13" x14ac:dyDescent="0.35">
      <c r="A2294" t="str">
        <f>"228-9087"</f>
        <v>228-9087</v>
      </c>
      <c r="B2294" t="s">
        <v>8393</v>
      </c>
      <c r="C2294" t="str">
        <f>"6145"</f>
        <v>6145</v>
      </c>
      <c r="E2294" t="s">
        <v>8394</v>
      </c>
      <c r="F2294" t="s">
        <v>157</v>
      </c>
      <c r="G2294" t="s">
        <v>8395</v>
      </c>
      <c r="H2294" t="s">
        <v>17</v>
      </c>
      <c r="I2294" t="s">
        <v>18</v>
      </c>
      <c r="J2294" t="str">
        <f>"4383996248"</f>
        <v>4383996248</v>
      </c>
      <c r="K2294" t="s">
        <v>8396</v>
      </c>
      <c r="L2294" t="s">
        <v>313</v>
      </c>
      <c r="M2294" t="s">
        <v>21</v>
      </c>
    </row>
    <row r="2295" spans="1:13" x14ac:dyDescent="0.35">
      <c r="A2295" t="str">
        <f>"228-9354"</f>
        <v>228-9354</v>
      </c>
      <c r="B2295" t="s">
        <v>8397</v>
      </c>
      <c r="C2295" t="str">
        <f>"69"</f>
        <v>69</v>
      </c>
      <c r="E2295" t="s">
        <v>8398</v>
      </c>
      <c r="F2295" t="s">
        <v>32</v>
      </c>
      <c r="G2295" t="s">
        <v>8399</v>
      </c>
      <c r="H2295" t="s">
        <v>17</v>
      </c>
      <c r="I2295" t="s">
        <v>18</v>
      </c>
      <c r="J2295" t="str">
        <f>"4382701892"</f>
        <v>4382701892</v>
      </c>
      <c r="K2295" t="s">
        <v>8400</v>
      </c>
      <c r="L2295" t="s">
        <v>203</v>
      </c>
      <c r="M2295" t="s">
        <v>21</v>
      </c>
    </row>
    <row r="2296" spans="1:13" x14ac:dyDescent="0.35">
      <c r="A2296" t="str">
        <f>"630-1300"</f>
        <v>630-1300</v>
      </c>
      <c r="B2296" t="s">
        <v>8401</v>
      </c>
      <c r="C2296" t="str">
        <f>"620"</f>
        <v>620</v>
      </c>
      <c r="E2296" t="s">
        <v>8402</v>
      </c>
      <c r="F2296" t="s">
        <v>143</v>
      </c>
      <c r="G2296" t="s">
        <v>8403</v>
      </c>
      <c r="H2296" t="s">
        <v>17</v>
      </c>
      <c r="I2296" t="s">
        <v>18</v>
      </c>
      <c r="J2296" t="str">
        <f>"4508487595"</f>
        <v>4508487595</v>
      </c>
      <c r="K2296" t="s">
        <v>8404</v>
      </c>
      <c r="L2296" t="s">
        <v>86</v>
      </c>
      <c r="M2296" t="s">
        <v>21</v>
      </c>
    </row>
    <row r="2297" spans="1:13" x14ac:dyDescent="0.35">
      <c r="A2297" t="str">
        <f>"630-3334"</f>
        <v>630-3334</v>
      </c>
      <c r="B2297" t="s">
        <v>4272</v>
      </c>
      <c r="C2297" t="str">
        <f>"12285"</f>
        <v>12285</v>
      </c>
      <c r="D2297" t="str">
        <f>"4"</f>
        <v>4</v>
      </c>
      <c r="E2297" t="s">
        <v>1549</v>
      </c>
      <c r="F2297" t="s">
        <v>24</v>
      </c>
      <c r="G2297" t="s">
        <v>3630</v>
      </c>
      <c r="H2297" t="s">
        <v>17</v>
      </c>
      <c r="I2297" t="s">
        <v>18</v>
      </c>
      <c r="J2297" t="str">
        <f>"5145869557"</f>
        <v>5145869557</v>
      </c>
      <c r="K2297" t="s">
        <v>8405</v>
      </c>
      <c r="L2297" t="s">
        <v>27</v>
      </c>
      <c r="M2297" t="s">
        <v>21</v>
      </c>
    </row>
    <row r="2298" spans="1:13" x14ac:dyDescent="0.35">
      <c r="A2298" t="str">
        <f>"631-5267"</f>
        <v>631-5267</v>
      </c>
      <c r="B2298" t="s">
        <v>8406</v>
      </c>
      <c r="C2298" t="str">
        <f>"1816"</f>
        <v>1816</v>
      </c>
      <c r="E2298" t="s">
        <v>4718</v>
      </c>
      <c r="F2298" t="s">
        <v>24</v>
      </c>
      <c r="G2298" t="s">
        <v>4719</v>
      </c>
      <c r="H2298" t="s">
        <v>17</v>
      </c>
      <c r="I2298" t="s">
        <v>18</v>
      </c>
      <c r="J2298" t="str">
        <f>"4388867647"</f>
        <v>4388867647</v>
      </c>
      <c r="K2298" t="s">
        <v>8407</v>
      </c>
      <c r="L2298" t="s">
        <v>86</v>
      </c>
      <c r="M2298" t="s">
        <v>21</v>
      </c>
    </row>
    <row r="2299" spans="1:13" x14ac:dyDescent="0.35">
      <c r="A2299" t="str">
        <f>"247-0016"</f>
        <v>247-0016</v>
      </c>
      <c r="B2299" t="s">
        <v>8408</v>
      </c>
      <c r="C2299" t="str">
        <f>"7201"</f>
        <v>7201</v>
      </c>
      <c r="D2299" t="str">
        <f>"3"</f>
        <v>3</v>
      </c>
      <c r="E2299" t="s">
        <v>2056</v>
      </c>
      <c r="F2299" t="s">
        <v>24</v>
      </c>
      <c r="G2299" t="s">
        <v>8409</v>
      </c>
      <c r="H2299" t="s">
        <v>17</v>
      </c>
      <c r="I2299" t="s">
        <v>18</v>
      </c>
      <c r="J2299" t="str">
        <f>"5143518637"</f>
        <v>5143518637</v>
      </c>
      <c r="K2299" t="s">
        <v>8410</v>
      </c>
      <c r="L2299" t="s">
        <v>86</v>
      </c>
      <c r="M2299" t="s">
        <v>21</v>
      </c>
    </row>
    <row r="2300" spans="1:13" x14ac:dyDescent="0.35">
      <c r="A2300" t="str">
        <f>"247-0233"</f>
        <v>247-0233</v>
      </c>
      <c r="B2300" t="s">
        <v>8411</v>
      </c>
      <c r="C2300" t="str">
        <f>"5746"</f>
        <v>5746</v>
      </c>
      <c r="E2300" t="s">
        <v>785</v>
      </c>
      <c r="F2300" t="s">
        <v>24</v>
      </c>
      <c r="G2300" t="s">
        <v>4948</v>
      </c>
      <c r="H2300" t="s">
        <v>17</v>
      </c>
      <c r="I2300" t="s">
        <v>18</v>
      </c>
      <c r="J2300" t="str">
        <f>"5146538240"</f>
        <v>5146538240</v>
      </c>
      <c r="K2300" t="s">
        <v>8412</v>
      </c>
      <c r="L2300" t="s">
        <v>20</v>
      </c>
      <c r="M2300" t="s">
        <v>21</v>
      </c>
    </row>
    <row r="2301" spans="1:13" x14ac:dyDescent="0.35">
      <c r="A2301" t="str">
        <f>"247-0540"</f>
        <v>247-0540</v>
      </c>
      <c r="B2301" t="s">
        <v>8413</v>
      </c>
      <c r="C2301" t="str">
        <f>"11"</f>
        <v>11</v>
      </c>
      <c r="D2301" t="str">
        <f>"103"</f>
        <v>103</v>
      </c>
      <c r="E2301" t="s">
        <v>8414</v>
      </c>
      <c r="F2301" t="s">
        <v>4868</v>
      </c>
      <c r="G2301" t="s">
        <v>8415</v>
      </c>
      <c r="H2301" t="s">
        <v>17</v>
      </c>
      <c r="I2301" t="s">
        <v>18</v>
      </c>
      <c r="J2301" t="str">
        <f>"5147933939"</f>
        <v>5147933939</v>
      </c>
      <c r="K2301" t="s">
        <v>8416</v>
      </c>
      <c r="L2301" t="s">
        <v>86</v>
      </c>
      <c r="M2301" t="s">
        <v>21</v>
      </c>
    </row>
    <row r="2302" spans="1:13" x14ac:dyDescent="0.35">
      <c r="A2302" t="str">
        <f>"247-1085"</f>
        <v>247-1085</v>
      </c>
      <c r="B2302" t="s">
        <v>8417</v>
      </c>
      <c r="C2302" t="str">
        <f>"6242"</f>
        <v>6242</v>
      </c>
      <c r="E2302" t="s">
        <v>8200</v>
      </c>
      <c r="F2302" t="s">
        <v>24</v>
      </c>
      <c r="G2302" t="s">
        <v>8418</v>
      </c>
      <c r="H2302" t="s">
        <v>17</v>
      </c>
      <c r="I2302" t="s">
        <v>18</v>
      </c>
      <c r="J2302" t="str">
        <f>"4387656475"</f>
        <v>4387656475</v>
      </c>
      <c r="K2302" t="s">
        <v>8419</v>
      </c>
      <c r="L2302" t="s">
        <v>86</v>
      </c>
      <c r="M2302" t="s">
        <v>21</v>
      </c>
    </row>
    <row r="2303" spans="1:13" x14ac:dyDescent="0.35">
      <c r="A2303" t="str">
        <f>"247-1115"</f>
        <v>247-1115</v>
      </c>
      <c r="B2303" t="s">
        <v>8420</v>
      </c>
      <c r="C2303" t="str">
        <f>"4051"</f>
        <v>4051</v>
      </c>
      <c r="E2303" t="s">
        <v>8421</v>
      </c>
      <c r="F2303" t="s">
        <v>24</v>
      </c>
      <c r="G2303" t="s">
        <v>8422</v>
      </c>
      <c r="H2303" t="s">
        <v>17</v>
      </c>
      <c r="I2303" t="s">
        <v>18</v>
      </c>
      <c r="J2303" t="str">
        <f>"4384043872"</f>
        <v>4384043872</v>
      </c>
      <c r="K2303" t="s">
        <v>8423</v>
      </c>
      <c r="L2303" t="s">
        <v>27</v>
      </c>
      <c r="M2303" t="s">
        <v>21</v>
      </c>
    </row>
    <row r="2304" spans="1:13" x14ac:dyDescent="0.35">
      <c r="A2304" t="str">
        <f>"247-1314"</f>
        <v>247-1314</v>
      </c>
      <c r="B2304" t="s">
        <v>8424</v>
      </c>
      <c r="C2304" t="str">
        <f>"56"</f>
        <v>56</v>
      </c>
      <c r="E2304" t="s">
        <v>8425</v>
      </c>
      <c r="F2304" t="s">
        <v>8426</v>
      </c>
      <c r="G2304" t="s">
        <v>8427</v>
      </c>
      <c r="H2304" t="s">
        <v>17</v>
      </c>
      <c r="I2304" t="s">
        <v>18</v>
      </c>
      <c r="J2304" t="str">
        <f>"4189347221"</f>
        <v>4189347221</v>
      </c>
      <c r="K2304" t="s">
        <v>8428</v>
      </c>
      <c r="L2304" t="s">
        <v>20</v>
      </c>
      <c r="M2304" t="s">
        <v>21</v>
      </c>
    </row>
    <row r="2305" spans="1:13" x14ac:dyDescent="0.35">
      <c r="A2305" t="str">
        <f>"248-0698"</f>
        <v>248-0698</v>
      </c>
      <c r="B2305" t="s">
        <v>8429</v>
      </c>
      <c r="C2305" t="str">
        <f>"5285"</f>
        <v>5285</v>
      </c>
      <c r="E2305" t="s">
        <v>4577</v>
      </c>
      <c r="F2305" t="s">
        <v>24</v>
      </c>
      <c r="G2305" t="s">
        <v>8430</v>
      </c>
      <c r="H2305" t="s">
        <v>17</v>
      </c>
      <c r="I2305" t="s">
        <v>18</v>
      </c>
      <c r="J2305" t="str">
        <f>"4383569867"</f>
        <v>4383569867</v>
      </c>
      <c r="K2305" t="s">
        <v>8431</v>
      </c>
      <c r="L2305" t="s">
        <v>137</v>
      </c>
      <c r="M2305" t="s">
        <v>21</v>
      </c>
    </row>
    <row r="2306" spans="1:13" x14ac:dyDescent="0.35">
      <c r="A2306" t="str">
        <f>"248-0827"</f>
        <v>248-0827</v>
      </c>
      <c r="B2306" t="s">
        <v>8432</v>
      </c>
      <c r="C2306" t="str">
        <f>"7350A"</f>
        <v>7350A</v>
      </c>
      <c r="E2306" t="s">
        <v>8433</v>
      </c>
      <c r="F2306" t="s">
        <v>24</v>
      </c>
      <c r="G2306" t="s">
        <v>8434</v>
      </c>
      <c r="H2306" t="s">
        <v>17</v>
      </c>
      <c r="I2306" t="s">
        <v>18</v>
      </c>
      <c r="J2306" t="str">
        <f>"4383644924"</f>
        <v>4383644924</v>
      </c>
      <c r="K2306" t="s">
        <v>8435</v>
      </c>
      <c r="L2306" t="s">
        <v>86</v>
      </c>
      <c r="M2306" t="s">
        <v>21</v>
      </c>
    </row>
    <row r="2307" spans="1:13" x14ac:dyDescent="0.35">
      <c r="A2307" t="str">
        <f>"248-1133"</f>
        <v>248-1133</v>
      </c>
      <c r="B2307" t="s">
        <v>8436</v>
      </c>
      <c r="C2307" t="str">
        <f>"5855"</f>
        <v>5855</v>
      </c>
      <c r="D2307" t="str">
        <f>"7"</f>
        <v>7</v>
      </c>
      <c r="E2307" t="s">
        <v>260</v>
      </c>
      <c r="F2307" t="s">
        <v>24</v>
      </c>
      <c r="G2307" t="s">
        <v>8350</v>
      </c>
      <c r="H2307" t="s">
        <v>17</v>
      </c>
      <c r="I2307" t="s">
        <v>18</v>
      </c>
      <c r="J2307" t="str">
        <f>"4383918704"</f>
        <v>4383918704</v>
      </c>
      <c r="K2307" t="s">
        <v>8437</v>
      </c>
      <c r="L2307" t="s">
        <v>2316</v>
      </c>
      <c r="M2307" t="s">
        <v>21</v>
      </c>
    </row>
    <row r="2308" spans="1:13" x14ac:dyDescent="0.35">
      <c r="A2308" t="str">
        <f>"248-5724"</f>
        <v>248-5724</v>
      </c>
      <c r="B2308" t="s">
        <v>8438</v>
      </c>
      <c r="C2308" t="str">
        <f>"8272"</f>
        <v>8272</v>
      </c>
      <c r="E2308" t="s">
        <v>1191</v>
      </c>
      <c r="F2308" t="s">
        <v>24</v>
      </c>
      <c r="G2308" t="s">
        <v>1192</v>
      </c>
      <c r="H2308" t="s">
        <v>17</v>
      </c>
      <c r="I2308" t="s">
        <v>18</v>
      </c>
      <c r="J2308" t="str">
        <f>"4388353244"</f>
        <v>4388353244</v>
      </c>
      <c r="K2308" t="s">
        <v>8439</v>
      </c>
      <c r="L2308" t="s">
        <v>86</v>
      </c>
      <c r="M2308" t="s">
        <v>21</v>
      </c>
    </row>
    <row r="2309" spans="1:13" x14ac:dyDescent="0.35">
      <c r="A2309" t="str">
        <f>"248-5912"</f>
        <v>248-5912</v>
      </c>
      <c r="B2309" t="s">
        <v>8440</v>
      </c>
      <c r="C2309" t="str">
        <f>"196"</f>
        <v>196</v>
      </c>
      <c r="E2309" t="s">
        <v>8441</v>
      </c>
      <c r="F2309" t="s">
        <v>1175</v>
      </c>
      <c r="G2309" t="s">
        <v>8442</v>
      </c>
      <c r="H2309" t="s">
        <v>17</v>
      </c>
      <c r="I2309" t="s">
        <v>18</v>
      </c>
      <c r="J2309" t="str">
        <f>"5148293208"</f>
        <v>5148293208</v>
      </c>
      <c r="K2309" t="s">
        <v>8443</v>
      </c>
      <c r="L2309" t="s">
        <v>39</v>
      </c>
      <c r="M2309" t="s">
        <v>21</v>
      </c>
    </row>
    <row r="2310" spans="1:13" x14ac:dyDescent="0.35">
      <c r="A2310" t="str">
        <f>"248-6187"</f>
        <v>248-6187</v>
      </c>
      <c r="B2310" t="s">
        <v>8444</v>
      </c>
      <c r="C2310" t="str">
        <f>"7589"</f>
        <v>7589</v>
      </c>
      <c r="E2310" t="s">
        <v>1606</v>
      </c>
      <c r="F2310" t="s">
        <v>24</v>
      </c>
      <c r="G2310" t="s">
        <v>1607</v>
      </c>
      <c r="H2310" t="s">
        <v>17</v>
      </c>
      <c r="I2310" t="s">
        <v>18</v>
      </c>
      <c r="J2310" t="str">
        <f>"4389934904"</f>
        <v>4389934904</v>
      </c>
      <c r="K2310" t="s">
        <v>8445</v>
      </c>
      <c r="L2310" t="s">
        <v>869</v>
      </c>
      <c r="M2310" t="s">
        <v>21</v>
      </c>
    </row>
    <row r="2311" spans="1:13" x14ac:dyDescent="0.35">
      <c r="A2311" t="str">
        <f>"248-6305"</f>
        <v>248-6305</v>
      </c>
      <c r="B2311" t="s">
        <v>8446</v>
      </c>
      <c r="C2311" t="str">
        <f>"7264"</f>
        <v>7264</v>
      </c>
      <c r="E2311" t="s">
        <v>1892</v>
      </c>
      <c r="F2311" t="s">
        <v>24</v>
      </c>
      <c r="G2311" t="s">
        <v>8447</v>
      </c>
      <c r="H2311" t="s">
        <v>17</v>
      </c>
      <c r="I2311" t="s">
        <v>18</v>
      </c>
      <c r="J2311" t="str">
        <f>"5147421916"</f>
        <v>5147421916</v>
      </c>
      <c r="K2311" t="s">
        <v>8448</v>
      </c>
      <c r="L2311" t="s">
        <v>383</v>
      </c>
      <c r="M2311" t="s">
        <v>21</v>
      </c>
    </row>
    <row r="2312" spans="1:13" x14ac:dyDescent="0.35">
      <c r="A2312" t="str">
        <f>"616-0547"</f>
        <v>616-0547</v>
      </c>
      <c r="B2312" t="s">
        <v>8449</v>
      </c>
      <c r="C2312" t="str">
        <f>"7262"</f>
        <v>7262</v>
      </c>
      <c r="E2312" t="s">
        <v>286</v>
      </c>
      <c r="F2312" t="s">
        <v>24</v>
      </c>
      <c r="G2312" t="s">
        <v>677</v>
      </c>
      <c r="H2312" t="s">
        <v>17</v>
      </c>
      <c r="I2312" t="s">
        <v>18</v>
      </c>
      <c r="J2312" t="str">
        <f>"5144315346"</f>
        <v>5144315346</v>
      </c>
      <c r="K2312" t="s">
        <v>8450</v>
      </c>
      <c r="L2312" t="s">
        <v>86</v>
      </c>
      <c r="M2312" t="s">
        <v>21</v>
      </c>
    </row>
    <row r="2313" spans="1:13" x14ac:dyDescent="0.35">
      <c r="A2313" t="str">
        <f>"617-9733"</f>
        <v>617-9733</v>
      </c>
      <c r="B2313" t="s">
        <v>8451</v>
      </c>
      <c r="C2313" t="str">
        <f>"6227"</f>
        <v>6227</v>
      </c>
      <c r="E2313" t="s">
        <v>2639</v>
      </c>
      <c r="F2313" t="s">
        <v>24</v>
      </c>
      <c r="G2313" t="s">
        <v>8452</v>
      </c>
      <c r="H2313" t="s">
        <v>17</v>
      </c>
      <c r="I2313" t="s">
        <v>18</v>
      </c>
      <c r="J2313" t="str">
        <f>"5148156203"</f>
        <v>5148156203</v>
      </c>
      <c r="K2313" t="s">
        <v>8453</v>
      </c>
      <c r="L2313" t="s">
        <v>198</v>
      </c>
      <c r="M2313" t="s">
        <v>21</v>
      </c>
    </row>
    <row r="2314" spans="1:13" x14ac:dyDescent="0.35">
      <c r="A2314" t="str">
        <f>"624-9833"</f>
        <v>624-9833</v>
      </c>
      <c r="B2314" t="s">
        <v>8454</v>
      </c>
      <c r="C2314" t="str">
        <f>"746"</f>
        <v>746</v>
      </c>
      <c r="E2314" t="s">
        <v>8455</v>
      </c>
      <c r="F2314" t="s">
        <v>54</v>
      </c>
      <c r="G2314" t="s">
        <v>8456</v>
      </c>
      <c r="H2314" t="s">
        <v>17</v>
      </c>
      <c r="I2314" t="s">
        <v>18</v>
      </c>
      <c r="J2314" t="str">
        <f>"5149121746"</f>
        <v>5149121746</v>
      </c>
      <c r="K2314" t="s">
        <v>8457</v>
      </c>
      <c r="L2314" t="s">
        <v>86</v>
      </c>
      <c r="M2314" t="s">
        <v>21</v>
      </c>
    </row>
    <row r="2315" spans="1:13" x14ac:dyDescent="0.35">
      <c r="A2315" t="str">
        <f>"625-2835"</f>
        <v>625-2835</v>
      </c>
      <c r="B2315" t="s">
        <v>8458</v>
      </c>
      <c r="C2315" t="str">
        <f>"221"</f>
        <v>221</v>
      </c>
      <c r="E2315" t="s">
        <v>8459</v>
      </c>
      <c r="F2315" t="s">
        <v>32</v>
      </c>
      <c r="G2315" t="s">
        <v>8460</v>
      </c>
      <c r="H2315" t="s">
        <v>17</v>
      </c>
      <c r="I2315" t="s">
        <v>18</v>
      </c>
      <c r="J2315" t="str">
        <f>"4385212593"</f>
        <v>4385212593</v>
      </c>
      <c r="K2315" t="s">
        <v>8461</v>
      </c>
      <c r="L2315" t="s">
        <v>86</v>
      </c>
      <c r="M2315" t="s">
        <v>21</v>
      </c>
    </row>
    <row r="2316" spans="1:13" x14ac:dyDescent="0.35">
      <c r="A2316" t="str">
        <f>"629-6332"</f>
        <v>629-6332</v>
      </c>
      <c r="B2316" t="s">
        <v>8462</v>
      </c>
      <c r="I2316" t="s">
        <v>3666</v>
      </c>
      <c r="J2316" t="str">
        <f>"0620839592"</f>
        <v>0620839592</v>
      </c>
      <c r="K2316" t="s">
        <v>8463</v>
      </c>
      <c r="L2316" t="s">
        <v>168</v>
      </c>
      <c r="M2316" t="s">
        <v>21</v>
      </c>
    </row>
    <row r="2317" spans="1:13" x14ac:dyDescent="0.35">
      <c r="A2317" t="str">
        <f>"629-9268"</f>
        <v>629-9268</v>
      </c>
      <c r="B2317" t="s">
        <v>8464</v>
      </c>
      <c r="I2317" t="s">
        <v>3666</v>
      </c>
      <c r="J2317" t="str">
        <f>"0033777783342"</f>
        <v>0033777783342</v>
      </c>
      <c r="K2317" t="s">
        <v>8465</v>
      </c>
      <c r="L2317" t="s">
        <v>168</v>
      </c>
      <c r="M2317" t="s">
        <v>21</v>
      </c>
    </row>
    <row r="2318" spans="1:13" x14ac:dyDescent="0.35">
      <c r="A2318" t="str">
        <f>"629-6805"</f>
        <v>629-6805</v>
      </c>
      <c r="B2318" t="s">
        <v>8466</v>
      </c>
      <c r="C2318" t="str">
        <f>"5516"</f>
        <v>5516</v>
      </c>
      <c r="E2318" t="s">
        <v>238</v>
      </c>
      <c r="F2318" t="s">
        <v>24</v>
      </c>
      <c r="G2318" t="s">
        <v>8195</v>
      </c>
      <c r="H2318" t="s">
        <v>17</v>
      </c>
      <c r="I2318" t="s">
        <v>18</v>
      </c>
      <c r="J2318" t="str">
        <f>"5143761620"</f>
        <v>5143761620</v>
      </c>
      <c r="K2318" t="s">
        <v>8467</v>
      </c>
      <c r="L2318" t="s">
        <v>168</v>
      </c>
      <c r="M2318" t="s">
        <v>21</v>
      </c>
    </row>
    <row r="2319" spans="1:13" x14ac:dyDescent="0.35">
      <c r="A2319" t="str">
        <f>"630-0700"</f>
        <v>630-0700</v>
      </c>
      <c r="B2319" t="s">
        <v>8468</v>
      </c>
      <c r="C2319" t="str">
        <f>"6815"</f>
        <v>6815</v>
      </c>
      <c r="E2319" t="s">
        <v>1072</v>
      </c>
      <c r="F2319" t="s">
        <v>24</v>
      </c>
      <c r="G2319" t="s">
        <v>3659</v>
      </c>
      <c r="H2319" t="s">
        <v>17</v>
      </c>
      <c r="I2319" t="s">
        <v>18</v>
      </c>
      <c r="J2319" t="str">
        <f>"5143761620"</f>
        <v>5143761620</v>
      </c>
      <c r="K2319" t="s">
        <v>8469</v>
      </c>
      <c r="L2319" t="s">
        <v>168</v>
      </c>
      <c r="M2319" t="s">
        <v>21</v>
      </c>
    </row>
    <row r="2320" spans="1:13" x14ac:dyDescent="0.35">
      <c r="A2320" t="str">
        <f>"629-8120"</f>
        <v>629-8120</v>
      </c>
      <c r="B2320" t="s">
        <v>8470</v>
      </c>
      <c r="C2320" t="str">
        <f>"2740"</f>
        <v>2740</v>
      </c>
      <c r="D2320" t="str">
        <f>"A"</f>
        <v>A</v>
      </c>
      <c r="E2320" t="s">
        <v>1283</v>
      </c>
      <c r="F2320" t="s">
        <v>24</v>
      </c>
      <c r="G2320" t="s">
        <v>8471</v>
      </c>
      <c r="H2320" t="s">
        <v>17</v>
      </c>
      <c r="I2320" t="s">
        <v>18</v>
      </c>
      <c r="J2320" t="str">
        <f>"5143761620"</f>
        <v>5143761620</v>
      </c>
      <c r="K2320" t="s">
        <v>8472</v>
      </c>
      <c r="L2320" t="s">
        <v>168</v>
      </c>
      <c r="M2320" t="s">
        <v>21</v>
      </c>
    </row>
    <row r="2321" spans="1:13" x14ac:dyDescent="0.35">
      <c r="A2321" t="str">
        <f>"630-0830"</f>
        <v>630-0830</v>
      </c>
      <c r="B2321" t="s">
        <v>8473</v>
      </c>
      <c r="I2321" t="s">
        <v>3666</v>
      </c>
      <c r="J2321" t="str">
        <f>"5143761620"</f>
        <v>5143761620</v>
      </c>
      <c r="K2321" t="s">
        <v>8474</v>
      </c>
      <c r="L2321" t="s">
        <v>168</v>
      </c>
      <c r="M2321" t="s">
        <v>21</v>
      </c>
    </row>
    <row r="2322" spans="1:13" x14ac:dyDescent="0.35">
      <c r="A2322" t="str">
        <f>"632-9275"</f>
        <v>632-9275</v>
      </c>
      <c r="B2322" t="s">
        <v>8475</v>
      </c>
      <c r="I2322" t="s">
        <v>3666</v>
      </c>
      <c r="J2322" t="str">
        <f>"0643951699"</f>
        <v>0643951699</v>
      </c>
      <c r="K2322" t="s">
        <v>8476</v>
      </c>
      <c r="L2322" t="s">
        <v>168</v>
      </c>
      <c r="M2322" t="s">
        <v>21</v>
      </c>
    </row>
    <row r="2323" spans="1:13" x14ac:dyDescent="0.35">
      <c r="A2323" t="str">
        <f>"632-6238"</f>
        <v>632-6238</v>
      </c>
      <c r="B2323" t="s">
        <v>8477</v>
      </c>
      <c r="C2323" t="str">
        <f>"5340"</f>
        <v>5340</v>
      </c>
      <c r="D2323" t="str">
        <f>"5"</f>
        <v>5</v>
      </c>
      <c r="E2323" t="s">
        <v>8478</v>
      </c>
      <c r="F2323" t="s">
        <v>40</v>
      </c>
      <c r="G2323" t="s">
        <v>8479</v>
      </c>
      <c r="H2323" t="s">
        <v>17</v>
      </c>
      <c r="I2323" t="s">
        <v>18</v>
      </c>
      <c r="J2323" t="str">
        <f>"5143761620"</f>
        <v>5143761620</v>
      </c>
      <c r="K2323" t="s">
        <v>8480</v>
      </c>
      <c r="L2323" t="s">
        <v>168</v>
      </c>
      <c r="M2323" t="s">
        <v>21</v>
      </c>
    </row>
    <row r="2324" spans="1:13" x14ac:dyDescent="0.35">
      <c r="A2324" t="str">
        <f>"630-1854"</f>
        <v>630-1854</v>
      </c>
      <c r="B2324" t="s">
        <v>8481</v>
      </c>
      <c r="I2324" t="s">
        <v>3666</v>
      </c>
      <c r="J2324" t="str">
        <f>"0627926224"</f>
        <v>0627926224</v>
      </c>
      <c r="K2324" t="s">
        <v>8482</v>
      </c>
      <c r="L2324" t="s">
        <v>168</v>
      </c>
      <c r="M2324" t="s">
        <v>21</v>
      </c>
    </row>
    <row r="2325" spans="1:13" x14ac:dyDescent="0.35">
      <c r="A2325" t="str">
        <f>"631-3341"</f>
        <v>631-3341</v>
      </c>
      <c r="B2325" t="s">
        <v>8483</v>
      </c>
      <c r="I2325" t="s">
        <v>3666</v>
      </c>
      <c r="J2325" t="str">
        <f>"0665235426"</f>
        <v>0665235426</v>
      </c>
      <c r="K2325" t="s">
        <v>8484</v>
      </c>
      <c r="L2325" t="s">
        <v>168</v>
      </c>
      <c r="M2325" t="s">
        <v>21</v>
      </c>
    </row>
    <row r="2326" spans="1:13" x14ac:dyDescent="0.35">
      <c r="A2326" t="str">
        <f>"853-1461"</f>
        <v>853-1461</v>
      </c>
      <c r="B2326" t="s">
        <v>8485</v>
      </c>
      <c r="C2326" t="str">
        <f>"240"</f>
        <v>240</v>
      </c>
      <c r="E2326" t="s">
        <v>8486</v>
      </c>
      <c r="F2326" t="s">
        <v>2148</v>
      </c>
      <c r="G2326" t="s">
        <v>8487</v>
      </c>
      <c r="H2326" t="s">
        <v>17</v>
      </c>
      <c r="I2326" t="s">
        <v>18</v>
      </c>
      <c r="J2326" t="str">
        <f>"5147766250"</f>
        <v>5147766250</v>
      </c>
      <c r="K2326" t="s">
        <v>8488</v>
      </c>
      <c r="L2326" t="s">
        <v>98</v>
      </c>
      <c r="M2326" t="s">
        <v>21</v>
      </c>
    </row>
    <row r="2327" spans="1:13" x14ac:dyDescent="0.35">
      <c r="A2327" t="str">
        <f>"215-0421"</f>
        <v>215-0421</v>
      </c>
      <c r="B2327" t="s">
        <v>8489</v>
      </c>
      <c r="C2327" t="str">
        <f>"628"</f>
        <v>628</v>
      </c>
      <c r="E2327" t="s">
        <v>8490</v>
      </c>
      <c r="F2327" t="s">
        <v>8491</v>
      </c>
      <c r="G2327" t="s">
        <v>8492</v>
      </c>
      <c r="H2327" t="s">
        <v>17</v>
      </c>
      <c r="I2327" t="s">
        <v>18</v>
      </c>
      <c r="J2327" t="str">
        <f>"4383660769"</f>
        <v>4383660769</v>
      </c>
      <c r="K2327" t="s">
        <v>8493</v>
      </c>
      <c r="L2327" t="s">
        <v>98</v>
      </c>
      <c r="M2327" t="s">
        <v>21</v>
      </c>
    </row>
    <row r="2328" spans="1:13" x14ac:dyDescent="0.35">
      <c r="A2328" t="str">
        <f>"633-6180"</f>
        <v>633-6180</v>
      </c>
      <c r="B2328" t="s">
        <v>8494</v>
      </c>
      <c r="C2328" t="str">
        <f>"1064"</f>
        <v>1064</v>
      </c>
      <c r="D2328" t="str">
        <f>"3"</f>
        <v>3</v>
      </c>
      <c r="E2328" t="s">
        <v>8495</v>
      </c>
      <c r="F2328" t="s">
        <v>157</v>
      </c>
      <c r="G2328" t="s">
        <v>8496</v>
      </c>
      <c r="H2328" t="s">
        <v>17</v>
      </c>
      <c r="I2328" t="s">
        <v>18</v>
      </c>
      <c r="J2328" t="str">
        <f>"4388655584"</f>
        <v>4388655584</v>
      </c>
      <c r="K2328" t="s">
        <v>8497</v>
      </c>
      <c r="L2328" t="s">
        <v>98</v>
      </c>
      <c r="M2328" t="s">
        <v>21</v>
      </c>
    </row>
    <row r="2329" spans="1:13" x14ac:dyDescent="0.35">
      <c r="A2329" t="str">
        <f>"633-6132"</f>
        <v>633-6132</v>
      </c>
      <c r="B2329" t="s">
        <v>8498</v>
      </c>
      <c r="C2329" t="str">
        <f>"190"</f>
        <v>190</v>
      </c>
      <c r="E2329" t="s">
        <v>8499</v>
      </c>
      <c r="F2329" t="s">
        <v>3703</v>
      </c>
      <c r="G2329" t="s">
        <v>8500</v>
      </c>
      <c r="H2329" t="s">
        <v>17</v>
      </c>
      <c r="I2329" t="s">
        <v>18</v>
      </c>
      <c r="J2329" t="str">
        <f>"4386807600"</f>
        <v>4386807600</v>
      </c>
      <c r="K2329" t="s">
        <v>8501</v>
      </c>
      <c r="L2329" t="s">
        <v>98</v>
      </c>
      <c r="M2329" t="s">
        <v>21</v>
      </c>
    </row>
    <row r="2330" spans="1:13" x14ac:dyDescent="0.35">
      <c r="A2330" t="str">
        <f>"629-4806"</f>
        <v>629-4806</v>
      </c>
      <c r="B2330" t="s">
        <v>8502</v>
      </c>
      <c r="C2330" t="str">
        <f>"5997"</f>
        <v>5997</v>
      </c>
      <c r="E2330" t="s">
        <v>8503</v>
      </c>
      <c r="F2330" t="s">
        <v>24</v>
      </c>
      <c r="G2330" t="s">
        <v>8504</v>
      </c>
      <c r="H2330" t="s">
        <v>17</v>
      </c>
      <c r="I2330" t="s">
        <v>18</v>
      </c>
      <c r="J2330" t="str">
        <f>"5143761620"</f>
        <v>5143761620</v>
      </c>
      <c r="K2330" t="s">
        <v>8505</v>
      </c>
      <c r="L2330" t="s">
        <v>168</v>
      </c>
      <c r="M2330" t="s">
        <v>21</v>
      </c>
    </row>
    <row r="2331" spans="1:13" x14ac:dyDescent="0.35">
      <c r="A2331" t="str">
        <f>"240-4527"</f>
        <v>240-4527</v>
      </c>
      <c r="B2331" t="s">
        <v>8506</v>
      </c>
      <c r="I2331" t="s">
        <v>3666</v>
      </c>
      <c r="J2331" t="str">
        <f>"5143761620"</f>
        <v>5143761620</v>
      </c>
      <c r="K2331" t="s">
        <v>8507</v>
      </c>
      <c r="L2331" t="s">
        <v>168</v>
      </c>
      <c r="M2331" t="s">
        <v>21</v>
      </c>
    </row>
    <row r="2332" spans="1:13" x14ac:dyDescent="0.35">
      <c r="A2332" t="str">
        <f>"242-1788"</f>
        <v>242-1788</v>
      </c>
      <c r="B2332" t="s">
        <v>8508</v>
      </c>
      <c r="C2332" t="str">
        <f>"2054"</f>
        <v>2054</v>
      </c>
      <c r="D2332" t="str">
        <f>"6"</f>
        <v>6</v>
      </c>
      <c r="E2332" t="s">
        <v>8509</v>
      </c>
      <c r="F2332" t="s">
        <v>24</v>
      </c>
      <c r="G2332" t="s">
        <v>8510</v>
      </c>
      <c r="H2332" t="s">
        <v>17</v>
      </c>
      <c r="I2332" t="s">
        <v>18</v>
      </c>
      <c r="J2332" t="str">
        <f>"2633623847"</f>
        <v>2633623847</v>
      </c>
      <c r="K2332" t="s">
        <v>8511</v>
      </c>
      <c r="L2332" t="s">
        <v>198</v>
      </c>
      <c r="M2332" t="s">
        <v>21</v>
      </c>
    </row>
    <row r="2333" spans="1:13" x14ac:dyDescent="0.35">
      <c r="A2333" t="str">
        <f>"632-9311"</f>
        <v>632-9311</v>
      </c>
      <c r="B2333" t="s">
        <v>8512</v>
      </c>
      <c r="I2333" t="s">
        <v>3666</v>
      </c>
      <c r="J2333" t="str">
        <f>"0788649958"</f>
        <v>0788649958</v>
      </c>
      <c r="K2333" t="s">
        <v>8513</v>
      </c>
      <c r="L2333" t="s">
        <v>168</v>
      </c>
      <c r="M2333" t="s">
        <v>21</v>
      </c>
    </row>
    <row r="2334" spans="1:13" x14ac:dyDescent="0.35">
      <c r="A2334" t="str">
        <f>"633-6513"</f>
        <v>633-6513</v>
      </c>
      <c r="B2334" t="s">
        <v>8514</v>
      </c>
      <c r="C2334" t="str">
        <f>"942"</f>
        <v>942</v>
      </c>
      <c r="E2334" t="s">
        <v>7454</v>
      </c>
      <c r="F2334" t="s">
        <v>3280</v>
      </c>
      <c r="G2334" t="s">
        <v>7455</v>
      </c>
      <c r="H2334" t="s">
        <v>17</v>
      </c>
      <c r="I2334" t="s">
        <v>18</v>
      </c>
      <c r="J2334" t="str">
        <f>"5142299903"</f>
        <v>5142299903</v>
      </c>
      <c r="K2334" t="s">
        <v>8515</v>
      </c>
      <c r="L2334" t="s">
        <v>98</v>
      </c>
      <c r="M2334" t="s">
        <v>21</v>
      </c>
    </row>
    <row r="2335" spans="1:13" x14ac:dyDescent="0.35">
      <c r="A2335" t="str">
        <f>"633-7257"</f>
        <v>633-7257</v>
      </c>
      <c r="B2335" t="s">
        <v>8516</v>
      </c>
      <c r="C2335" t="str">
        <f>"410"</f>
        <v>410</v>
      </c>
      <c r="E2335" t="s">
        <v>2081</v>
      </c>
      <c r="F2335" t="s">
        <v>2148</v>
      </c>
      <c r="G2335" t="s">
        <v>8517</v>
      </c>
      <c r="H2335" t="s">
        <v>17</v>
      </c>
      <c r="I2335" t="s">
        <v>18</v>
      </c>
      <c r="J2335" t="str">
        <f>"5148920976"</f>
        <v>5148920976</v>
      </c>
      <c r="K2335" t="s">
        <v>8518</v>
      </c>
      <c r="L2335" t="s">
        <v>98</v>
      </c>
      <c r="M2335" t="s">
        <v>21</v>
      </c>
    </row>
    <row r="2336" spans="1:13" x14ac:dyDescent="0.35">
      <c r="A2336" t="str">
        <f>"633-4824"</f>
        <v>633-4824</v>
      </c>
      <c r="B2336" t="s">
        <v>8519</v>
      </c>
      <c r="I2336" t="s">
        <v>5979</v>
      </c>
      <c r="J2336" t="str">
        <f>"5143761620"</f>
        <v>5143761620</v>
      </c>
      <c r="K2336" t="s">
        <v>8520</v>
      </c>
      <c r="L2336" t="s">
        <v>168</v>
      </c>
      <c r="M2336" t="s">
        <v>21</v>
      </c>
    </row>
    <row r="2337" spans="1:13" x14ac:dyDescent="0.35">
      <c r="A2337" t="str">
        <f>"633-7642"</f>
        <v>633-7642</v>
      </c>
      <c r="B2337" t="s">
        <v>8521</v>
      </c>
      <c r="C2337" t="str">
        <f>"5653"</f>
        <v>5653</v>
      </c>
      <c r="E2337" t="s">
        <v>8522</v>
      </c>
      <c r="F2337" t="s">
        <v>24</v>
      </c>
      <c r="G2337" t="s">
        <v>8523</v>
      </c>
      <c r="H2337" t="s">
        <v>17</v>
      </c>
      <c r="I2337" t="s">
        <v>18</v>
      </c>
      <c r="J2337" t="str">
        <f>"4384940878"</f>
        <v>4384940878</v>
      </c>
      <c r="K2337" t="s">
        <v>8524</v>
      </c>
      <c r="L2337" t="s">
        <v>98</v>
      </c>
      <c r="M2337" t="s">
        <v>21</v>
      </c>
    </row>
    <row r="2338" spans="1:13" x14ac:dyDescent="0.35">
      <c r="A2338" t="str">
        <f>"093-7123"</f>
        <v>093-7123</v>
      </c>
      <c r="B2338" t="s">
        <v>8525</v>
      </c>
      <c r="C2338" t="str">
        <f>"1543"</f>
        <v>1543</v>
      </c>
      <c r="E2338" t="s">
        <v>8526</v>
      </c>
      <c r="F2338" t="s">
        <v>2471</v>
      </c>
      <c r="G2338" t="s">
        <v>8527</v>
      </c>
      <c r="H2338" t="s">
        <v>17</v>
      </c>
      <c r="I2338" t="s">
        <v>18</v>
      </c>
      <c r="J2338" t="str">
        <f>"5146496197"</f>
        <v>5146496197</v>
      </c>
      <c r="K2338" t="s">
        <v>8528</v>
      </c>
      <c r="L2338" t="s">
        <v>98</v>
      </c>
      <c r="M2338" t="s">
        <v>21</v>
      </c>
    </row>
    <row r="2339" spans="1:13" x14ac:dyDescent="0.35">
      <c r="A2339" t="str">
        <f>"633-7398"</f>
        <v>633-7398</v>
      </c>
      <c r="B2339" t="s">
        <v>8529</v>
      </c>
      <c r="C2339" t="str">
        <f>"6859"</f>
        <v>6859</v>
      </c>
      <c r="E2339" t="s">
        <v>3038</v>
      </c>
      <c r="F2339" t="s">
        <v>24</v>
      </c>
      <c r="G2339" t="s">
        <v>8530</v>
      </c>
      <c r="H2339" t="s">
        <v>17</v>
      </c>
      <c r="I2339" t="s">
        <v>18</v>
      </c>
      <c r="J2339" t="str">
        <f>"4388557812"</f>
        <v>4388557812</v>
      </c>
      <c r="K2339" t="s">
        <v>8531</v>
      </c>
      <c r="L2339" t="s">
        <v>98</v>
      </c>
      <c r="M2339" t="s">
        <v>21</v>
      </c>
    </row>
    <row r="2340" spans="1:13" x14ac:dyDescent="0.35">
      <c r="A2340" t="str">
        <f>"633-7881"</f>
        <v>633-7881</v>
      </c>
      <c r="B2340" t="s">
        <v>8532</v>
      </c>
      <c r="C2340" t="str">
        <f>"100"</f>
        <v>100</v>
      </c>
      <c r="E2340" t="s">
        <v>8533</v>
      </c>
      <c r="F2340" t="s">
        <v>6874</v>
      </c>
      <c r="G2340" t="s">
        <v>8534</v>
      </c>
      <c r="H2340" t="s">
        <v>17</v>
      </c>
      <c r="I2340" t="s">
        <v>18</v>
      </c>
      <c r="J2340" t="str">
        <f>"4189603087"</f>
        <v>4189603087</v>
      </c>
      <c r="K2340" t="s">
        <v>8535</v>
      </c>
      <c r="L2340" t="s">
        <v>98</v>
      </c>
      <c r="M2340" t="s">
        <v>21</v>
      </c>
    </row>
    <row r="2341" spans="1:13" x14ac:dyDescent="0.35">
      <c r="A2341" t="str">
        <f>"157-8687"</f>
        <v>157-8687</v>
      </c>
      <c r="B2341" t="s">
        <v>8536</v>
      </c>
      <c r="C2341" t="str">
        <f>"8905"</f>
        <v>8905</v>
      </c>
      <c r="D2341" t="str">
        <f>"A"</f>
        <v>A</v>
      </c>
      <c r="E2341" t="s">
        <v>6638</v>
      </c>
      <c r="F2341" t="s">
        <v>24</v>
      </c>
      <c r="G2341" t="s">
        <v>8537</v>
      </c>
      <c r="H2341" t="s">
        <v>17</v>
      </c>
      <c r="I2341" t="s">
        <v>18</v>
      </c>
      <c r="J2341" t="str">
        <f>"5149413870"</f>
        <v>5149413870</v>
      </c>
      <c r="K2341" t="s">
        <v>8538</v>
      </c>
      <c r="L2341" t="s">
        <v>98</v>
      </c>
      <c r="M2341" t="s">
        <v>21</v>
      </c>
    </row>
    <row r="2342" spans="1:13" x14ac:dyDescent="0.35">
      <c r="A2342" t="str">
        <f>"633-8049"</f>
        <v>633-8049</v>
      </c>
      <c r="B2342" t="s">
        <v>8539</v>
      </c>
      <c r="C2342" t="str">
        <f>"999"</f>
        <v>999</v>
      </c>
      <c r="E2342" t="s">
        <v>3982</v>
      </c>
      <c r="F2342" t="s">
        <v>1683</v>
      </c>
      <c r="G2342" t="s">
        <v>1684</v>
      </c>
      <c r="H2342" t="s">
        <v>17</v>
      </c>
      <c r="I2342" t="s">
        <v>18</v>
      </c>
      <c r="J2342" t="str">
        <f>"4508084062"</f>
        <v>4508084062</v>
      </c>
      <c r="K2342" t="s">
        <v>8540</v>
      </c>
      <c r="L2342" t="s">
        <v>98</v>
      </c>
      <c r="M2342" t="s">
        <v>21</v>
      </c>
    </row>
    <row r="2343" spans="1:13" x14ac:dyDescent="0.35">
      <c r="A2343" t="str">
        <f>"633-7025"</f>
        <v>633-7025</v>
      </c>
      <c r="B2343" t="s">
        <v>8541</v>
      </c>
      <c r="C2343" t="str">
        <f>"11596"</f>
        <v>11596</v>
      </c>
      <c r="E2343" t="s">
        <v>8542</v>
      </c>
      <c r="F2343" t="s">
        <v>1488</v>
      </c>
      <c r="G2343" t="s">
        <v>8543</v>
      </c>
      <c r="H2343" t="s">
        <v>17</v>
      </c>
      <c r="I2343" t="s">
        <v>18</v>
      </c>
      <c r="J2343" t="str">
        <f>"4389956809"</f>
        <v>4389956809</v>
      </c>
      <c r="K2343" t="s">
        <v>8544</v>
      </c>
      <c r="L2343" t="s">
        <v>98</v>
      </c>
      <c r="M2343" t="s">
        <v>21</v>
      </c>
    </row>
    <row r="2344" spans="1:13" x14ac:dyDescent="0.35">
      <c r="A2344" t="str">
        <f>"235-0728"</f>
        <v>235-0728</v>
      </c>
      <c r="B2344" t="s">
        <v>8545</v>
      </c>
      <c r="C2344" t="str">
        <f>"1475"</f>
        <v>1475</v>
      </c>
      <c r="D2344" t="str">
        <f>"2"</f>
        <v>2</v>
      </c>
      <c r="E2344" t="s">
        <v>8546</v>
      </c>
      <c r="F2344" t="s">
        <v>24</v>
      </c>
      <c r="G2344" t="s">
        <v>8547</v>
      </c>
      <c r="H2344" t="s">
        <v>17</v>
      </c>
      <c r="I2344" t="s">
        <v>18</v>
      </c>
      <c r="J2344" t="str">
        <f>"4386806835"</f>
        <v>4386806835</v>
      </c>
      <c r="K2344" t="s">
        <v>8548</v>
      </c>
      <c r="L2344" t="s">
        <v>98</v>
      </c>
      <c r="M2344" t="s">
        <v>21</v>
      </c>
    </row>
    <row r="2345" spans="1:13" x14ac:dyDescent="0.35">
      <c r="A2345" t="str">
        <f>"136-8097"</f>
        <v>136-8097</v>
      </c>
      <c r="B2345" t="s">
        <v>8549</v>
      </c>
      <c r="C2345" t="str">
        <f>"17925"</f>
        <v>17925</v>
      </c>
      <c r="D2345" t="str">
        <f>"708"</f>
        <v>708</v>
      </c>
      <c r="E2345" t="s">
        <v>8550</v>
      </c>
      <c r="F2345" t="s">
        <v>1680</v>
      </c>
      <c r="G2345" t="s">
        <v>8551</v>
      </c>
      <c r="H2345" t="s">
        <v>17</v>
      </c>
      <c r="I2345" t="s">
        <v>18</v>
      </c>
      <c r="J2345" t="str">
        <f>"4388322412"</f>
        <v>4388322412</v>
      </c>
      <c r="K2345" t="s">
        <v>8552</v>
      </c>
      <c r="L2345" t="s">
        <v>98</v>
      </c>
      <c r="M2345" t="s">
        <v>21</v>
      </c>
    </row>
    <row r="2346" spans="1:13" x14ac:dyDescent="0.35">
      <c r="A2346" t="str">
        <f>"613-6287"</f>
        <v>613-6287</v>
      </c>
      <c r="B2346" t="s">
        <v>8553</v>
      </c>
      <c r="C2346" t="str">
        <f>"65"</f>
        <v>65</v>
      </c>
      <c r="D2346" t="str">
        <f>"404"</f>
        <v>404</v>
      </c>
      <c r="E2346" t="s">
        <v>8554</v>
      </c>
      <c r="F2346" t="s">
        <v>866</v>
      </c>
      <c r="G2346" t="s">
        <v>8555</v>
      </c>
      <c r="H2346" t="s">
        <v>17</v>
      </c>
      <c r="I2346" t="s">
        <v>18</v>
      </c>
      <c r="J2346" t="str">
        <f>"5144763395"</f>
        <v>5144763395</v>
      </c>
      <c r="K2346" t="s">
        <v>8556</v>
      </c>
      <c r="L2346" t="s">
        <v>98</v>
      </c>
      <c r="M2346" t="s">
        <v>21</v>
      </c>
    </row>
    <row r="2347" spans="1:13" x14ac:dyDescent="0.35">
      <c r="A2347" t="str">
        <f>"633-8528"</f>
        <v>633-8528</v>
      </c>
      <c r="B2347" t="s">
        <v>8557</v>
      </c>
      <c r="C2347" t="str">
        <f>"2472"</f>
        <v>2472</v>
      </c>
      <c r="E2347" t="s">
        <v>8558</v>
      </c>
      <c r="F2347" t="s">
        <v>1109</v>
      </c>
      <c r="G2347" t="s">
        <v>8559</v>
      </c>
      <c r="H2347" t="s">
        <v>17</v>
      </c>
      <c r="I2347" t="s">
        <v>18</v>
      </c>
      <c r="J2347" t="str">
        <f>"5143786777"</f>
        <v>5143786777</v>
      </c>
      <c r="K2347" t="s">
        <v>8560</v>
      </c>
      <c r="L2347" t="s">
        <v>98</v>
      </c>
      <c r="M2347" t="s">
        <v>21</v>
      </c>
    </row>
    <row r="2348" spans="1:13" x14ac:dyDescent="0.35">
      <c r="A2348" t="str">
        <f>"615-1540"</f>
        <v>615-1540</v>
      </c>
      <c r="B2348" t="s">
        <v>8561</v>
      </c>
      <c r="C2348" t="str">
        <f>"2097"</f>
        <v>2097</v>
      </c>
      <c r="E2348" t="s">
        <v>8562</v>
      </c>
      <c r="F2348" t="s">
        <v>1763</v>
      </c>
      <c r="G2348" t="s">
        <v>8563</v>
      </c>
      <c r="H2348" t="s">
        <v>17</v>
      </c>
      <c r="I2348" t="s">
        <v>18</v>
      </c>
      <c r="J2348" t="str">
        <f>"8192095211"</f>
        <v>8192095211</v>
      </c>
      <c r="K2348" t="s">
        <v>8564</v>
      </c>
      <c r="L2348" t="s">
        <v>98</v>
      </c>
      <c r="M2348" t="s">
        <v>21</v>
      </c>
    </row>
    <row r="2349" spans="1:13" x14ac:dyDescent="0.35">
      <c r="A2349" t="str">
        <f>"248-1790"</f>
        <v>248-1790</v>
      </c>
      <c r="B2349" t="s">
        <v>8565</v>
      </c>
      <c r="C2349" t="str">
        <f>"8373"</f>
        <v>8373</v>
      </c>
      <c r="E2349" t="s">
        <v>8566</v>
      </c>
      <c r="F2349" t="s">
        <v>24</v>
      </c>
      <c r="G2349" t="s">
        <v>8567</v>
      </c>
      <c r="H2349" t="s">
        <v>17</v>
      </c>
      <c r="I2349" t="s">
        <v>18</v>
      </c>
      <c r="J2349" t="str">
        <f>"4384062360"</f>
        <v>4384062360</v>
      </c>
      <c r="K2349" t="s">
        <v>8568</v>
      </c>
      <c r="L2349" t="s">
        <v>396</v>
      </c>
      <c r="M2349" t="s">
        <v>21</v>
      </c>
    </row>
    <row r="2350" spans="1:13" x14ac:dyDescent="0.35">
      <c r="A2350" t="str">
        <f>"249-3940"</f>
        <v>249-3940</v>
      </c>
      <c r="B2350" t="s">
        <v>8569</v>
      </c>
      <c r="C2350" t="str">
        <f>"5673"</f>
        <v>5673</v>
      </c>
      <c r="E2350" t="s">
        <v>2056</v>
      </c>
      <c r="F2350" t="s">
        <v>24</v>
      </c>
      <c r="G2350" t="s">
        <v>6427</v>
      </c>
      <c r="H2350" t="s">
        <v>17</v>
      </c>
      <c r="I2350" t="s">
        <v>18</v>
      </c>
      <c r="J2350" t="str">
        <f>"5142695270"</f>
        <v>5142695270</v>
      </c>
      <c r="K2350" t="s">
        <v>8570</v>
      </c>
      <c r="L2350" t="s">
        <v>86</v>
      </c>
      <c r="M2350" t="s">
        <v>21</v>
      </c>
    </row>
    <row r="2351" spans="1:13" x14ac:dyDescent="0.35">
      <c r="A2351" t="str">
        <f>"624-5574"</f>
        <v>624-5574</v>
      </c>
      <c r="B2351" t="s">
        <v>8571</v>
      </c>
      <c r="C2351" t="str">
        <f>"8381"</f>
        <v>8381</v>
      </c>
      <c r="E2351" t="s">
        <v>4911</v>
      </c>
      <c r="F2351" t="s">
        <v>24</v>
      </c>
      <c r="G2351" t="s">
        <v>8572</v>
      </c>
      <c r="H2351" t="s">
        <v>17</v>
      </c>
      <c r="I2351" t="s">
        <v>18</v>
      </c>
      <c r="J2351" t="str">
        <f>"5147790602"</f>
        <v>5147790602</v>
      </c>
      <c r="K2351" t="s">
        <v>8573</v>
      </c>
      <c r="L2351" t="s">
        <v>168</v>
      </c>
      <c r="M2351" t="s">
        <v>21</v>
      </c>
    </row>
    <row r="2352" spans="1:13" x14ac:dyDescent="0.35">
      <c r="A2352" t="str">
        <f>"625-9055"</f>
        <v>625-9055</v>
      </c>
      <c r="B2352" t="s">
        <v>8574</v>
      </c>
      <c r="C2352" t="str">
        <f>"2059"</f>
        <v>2059</v>
      </c>
      <c r="D2352" t="str">
        <f>"1"</f>
        <v>1</v>
      </c>
      <c r="E2352" t="s">
        <v>2069</v>
      </c>
      <c r="F2352" t="s">
        <v>24</v>
      </c>
      <c r="G2352" t="s">
        <v>2070</v>
      </c>
      <c r="H2352" t="s">
        <v>17</v>
      </c>
      <c r="I2352" t="s">
        <v>18</v>
      </c>
      <c r="J2352" t="str">
        <f>"4388893926"</f>
        <v>4388893926</v>
      </c>
      <c r="K2352" t="s">
        <v>8575</v>
      </c>
      <c r="L2352" t="s">
        <v>168</v>
      </c>
      <c r="M2352" t="s">
        <v>21</v>
      </c>
    </row>
    <row r="2353" spans="1:13" x14ac:dyDescent="0.35">
      <c r="A2353" t="str">
        <f>"629-9010"</f>
        <v>629-9010</v>
      </c>
      <c r="B2353" t="s">
        <v>8576</v>
      </c>
      <c r="C2353" t="str">
        <f>"4215"</f>
        <v>4215</v>
      </c>
      <c r="D2353" t="str">
        <f>"4215"</f>
        <v>4215</v>
      </c>
      <c r="E2353" t="s">
        <v>1183</v>
      </c>
      <c r="F2353" t="s">
        <v>24</v>
      </c>
      <c r="G2353" t="s">
        <v>1184</v>
      </c>
      <c r="H2353" t="s">
        <v>17</v>
      </c>
      <c r="I2353" t="s">
        <v>18</v>
      </c>
      <c r="J2353" t="str">
        <f>"5149952249"</f>
        <v>5149952249</v>
      </c>
      <c r="K2353" t="s">
        <v>8577</v>
      </c>
      <c r="L2353" t="s">
        <v>86</v>
      </c>
      <c r="M2353" t="s">
        <v>21</v>
      </c>
    </row>
    <row r="2354" spans="1:13" x14ac:dyDescent="0.35">
      <c r="A2354" t="str">
        <f>"629-9834"</f>
        <v>629-9834</v>
      </c>
      <c r="B2354" t="s">
        <v>8578</v>
      </c>
      <c r="C2354" t="str">
        <f>"5387"</f>
        <v>5387</v>
      </c>
      <c r="E2354" t="s">
        <v>75</v>
      </c>
      <c r="F2354" t="s">
        <v>24</v>
      </c>
      <c r="G2354" t="s">
        <v>8579</v>
      </c>
      <c r="H2354" t="s">
        <v>17</v>
      </c>
      <c r="I2354" t="s">
        <v>18</v>
      </c>
      <c r="J2354" t="str">
        <f>"4382708807"</f>
        <v>4382708807</v>
      </c>
      <c r="K2354" t="s">
        <v>8580</v>
      </c>
      <c r="L2354" t="s">
        <v>86</v>
      </c>
      <c r="M2354" t="s">
        <v>21</v>
      </c>
    </row>
    <row r="2355" spans="1:13" x14ac:dyDescent="0.35">
      <c r="A2355" t="str">
        <f>"630-0648"</f>
        <v>630-0648</v>
      </c>
      <c r="B2355" t="s">
        <v>8581</v>
      </c>
      <c r="C2355" t="str">
        <f>"5180"</f>
        <v>5180</v>
      </c>
      <c r="E2355" t="s">
        <v>8582</v>
      </c>
      <c r="F2355" t="s">
        <v>24</v>
      </c>
      <c r="G2355" t="s">
        <v>8583</v>
      </c>
      <c r="H2355" t="s">
        <v>17</v>
      </c>
      <c r="I2355" t="s">
        <v>18</v>
      </c>
      <c r="J2355" t="str">
        <f>"4389901753"</f>
        <v>4389901753</v>
      </c>
      <c r="K2355" t="s">
        <v>8584</v>
      </c>
      <c r="L2355" t="s">
        <v>137</v>
      </c>
      <c r="M2355" t="s">
        <v>21</v>
      </c>
    </row>
    <row r="2356" spans="1:13" x14ac:dyDescent="0.35">
      <c r="A2356" t="str">
        <f>"630-4204"</f>
        <v>630-4204</v>
      </c>
      <c r="B2356" t="s">
        <v>8585</v>
      </c>
      <c r="C2356" t="str">
        <f>"9692"</f>
        <v>9692</v>
      </c>
      <c r="E2356" t="s">
        <v>5287</v>
      </c>
      <c r="F2356" t="s">
        <v>24</v>
      </c>
      <c r="G2356" t="s">
        <v>8586</v>
      </c>
      <c r="H2356" t="s">
        <v>17</v>
      </c>
      <c r="I2356" t="s">
        <v>18</v>
      </c>
      <c r="J2356" t="str">
        <f>"5145162253"</f>
        <v>5145162253</v>
      </c>
      <c r="K2356" t="s">
        <v>8587</v>
      </c>
      <c r="L2356" t="s">
        <v>396</v>
      </c>
      <c r="M2356" t="s">
        <v>21</v>
      </c>
    </row>
    <row r="2357" spans="1:13" x14ac:dyDescent="0.35">
      <c r="A2357" t="str">
        <f>"632-5714"</f>
        <v>632-5714</v>
      </c>
      <c r="B2357" t="s">
        <v>8588</v>
      </c>
      <c r="C2357" t="str">
        <f>"4175"</f>
        <v>4175</v>
      </c>
      <c r="D2357" t="str">
        <f>"9"</f>
        <v>9</v>
      </c>
      <c r="E2357" t="s">
        <v>1163</v>
      </c>
      <c r="F2357" t="s">
        <v>24</v>
      </c>
      <c r="G2357" t="s">
        <v>8589</v>
      </c>
      <c r="H2357" t="s">
        <v>17</v>
      </c>
      <c r="I2357" t="s">
        <v>18</v>
      </c>
      <c r="J2357" t="str">
        <f>"4383086551"</f>
        <v>4383086551</v>
      </c>
      <c r="K2357" t="s">
        <v>8590</v>
      </c>
      <c r="L2357" t="s">
        <v>396</v>
      </c>
      <c r="M2357" t="s">
        <v>21</v>
      </c>
    </row>
    <row r="2358" spans="1:13" x14ac:dyDescent="0.35">
      <c r="A2358" t="str">
        <f>"632-9414"</f>
        <v>632-9414</v>
      </c>
      <c r="B2358" t="s">
        <v>8591</v>
      </c>
      <c r="C2358" t="str">
        <f>"6281"</f>
        <v>6281</v>
      </c>
      <c r="D2358" t="str">
        <f>"6"</f>
        <v>6</v>
      </c>
      <c r="E2358" t="s">
        <v>2056</v>
      </c>
      <c r="F2358" t="s">
        <v>24</v>
      </c>
      <c r="G2358" t="s">
        <v>8592</v>
      </c>
      <c r="H2358" t="s">
        <v>17</v>
      </c>
      <c r="I2358" t="s">
        <v>18</v>
      </c>
      <c r="J2358" t="str">
        <f>"5147048234"</f>
        <v>5147048234</v>
      </c>
      <c r="K2358" t="s">
        <v>8593</v>
      </c>
      <c r="L2358" t="s">
        <v>869</v>
      </c>
      <c r="M2358" t="s">
        <v>21</v>
      </c>
    </row>
    <row r="2359" spans="1:13" x14ac:dyDescent="0.35">
      <c r="A2359" t="str">
        <f>"632-9879"</f>
        <v>632-9879</v>
      </c>
      <c r="B2359" t="s">
        <v>8594</v>
      </c>
      <c r="C2359" t="str">
        <f>"5340"</f>
        <v>5340</v>
      </c>
      <c r="D2359" t="str">
        <f>"5340"</f>
        <v>5340</v>
      </c>
      <c r="E2359" t="s">
        <v>125</v>
      </c>
      <c r="F2359" t="s">
        <v>24</v>
      </c>
      <c r="G2359" t="s">
        <v>8595</v>
      </c>
      <c r="H2359" t="s">
        <v>17</v>
      </c>
      <c r="I2359" t="s">
        <v>18</v>
      </c>
      <c r="J2359" t="str">
        <f>"5146798880"</f>
        <v>5146798880</v>
      </c>
      <c r="K2359" t="s">
        <v>8596</v>
      </c>
      <c r="L2359" t="s">
        <v>86</v>
      </c>
      <c r="M2359" t="s">
        <v>21</v>
      </c>
    </row>
    <row r="2360" spans="1:13" x14ac:dyDescent="0.35">
      <c r="A2360" t="str">
        <f>"632-9972"</f>
        <v>632-9972</v>
      </c>
      <c r="B2360" t="s">
        <v>8597</v>
      </c>
      <c r="C2360" t="str">
        <f>"2600"</f>
        <v>2600</v>
      </c>
      <c r="D2360" t="str">
        <f>"12"</f>
        <v>12</v>
      </c>
      <c r="E2360" t="s">
        <v>1388</v>
      </c>
      <c r="F2360" t="s">
        <v>24</v>
      </c>
      <c r="G2360" t="s">
        <v>8598</v>
      </c>
      <c r="H2360" t="s">
        <v>17</v>
      </c>
      <c r="I2360" t="s">
        <v>18</v>
      </c>
      <c r="J2360" t="str">
        <f>"5147067670"</f>
        <v>5147067670</v>
      </c>
      <c r="K2360" t="s">
        <v>8599</v>
      </c>
      <c r="L2360" t="s">
        <v>396</v>
      </c>
      <c r="M2360" t="s">
        <v>21</v>
      </c>
    </row>
    <row r="2361" spans="1:13" x14ac:dyDescent="0.35">
      <c r="A2361" t="str">
        <f>"633-0117"</f>
        <v>633-0117</v>
      </c>
      <c r="B2361" t="s">
        <v>8600</v>
      </c>
      <c r="C2361" t="str">
        <f>"1644"</f>
        <v>1644</v>
      </c>
      <c r="E2361" t="s">
        <v>8601</v>
      </c>
      <c r="F2361" t="s">
        <v>24</v>
      </c>
      <c r="G2361" t="s">
        <v>8602</v>
      </c>
      <c r="H2361" t="s">
        <v>17</v>
      </c>
      <c r="I2361" t="s">
        <v>18</v>
      </c>
      <c r="J2361" t="str">
        <f>"4384656747"</f>
        <v>4384656747</v>
      </c>
      <c r="K2361" t="s">
        <v>8603</v>
      </c>
      <c r="L2361" t="s">
        <v>86</v>
      </c>
      <c r="M2361" t="s">
        <v>21</v>
      </c>
    </row>
    <row r="2362" spans="1:13" x14ac:dyDescent="0.35">
      <c r="A2362" t="str">
        <f>"633-8983"</f>
        <v>633-8983</v>
      </c>
      <c r="B2362" t="s">
        <v>8604</v>
      </c>
      <c r="C2362" t="str">
        <f>"5122"</f>
        <v>5122</v>
      </c>
      <c r="E2362" t="s">
        <v>8605</v>
      </c>
      <c r="F2362" t="s">
        <v>24</v>
      </c>
      <c r="G2362" t="s">
        <v>8606</v>
      </c>
      <c r="H2362" t="s">
        <v>17</v>
      </c>
      <c r="I2362" t="s">
        <v>18</v>
      </c>
      <c r="J2362" t="str">
        <f>"4388662335"</f>
        <v>4388662335</v>
      </c>
      <c r="K2362" t="s">
        <v>8607</v>
      </c>
      <c r="L2362" t="s">
        <v>76</v>
      </c>
      <c r="M2362" t="s">
        <v>21</v>
      </c>
    </row>
    <row r="2363" spans="1:13" x14ac:dyDescent="0.35">
      <c r="A2363" t="str">
        <f>"633-9486"</f>
        <v>633-9486</v>
      </c>
      <c r="B2363" t="s">
        <v>8608</v>
      </c>
      <c r="C2363" t="str">
        <f>"6300"</f>
        <v>6300</v>
      </c>
      <c r="D2363" t="str">
        <f>"701"</f>
        <v>701</v>
      </c>
      <c r="E2363" t="s">
        <v>8609</v>
      </c>
      <c r="F2363" t="s">
        <v>24</v>
      </c>
      <c r="G2363" t="s">
        <v>8610</v>
      </c>
      <c r="H2363" t="s">
        <v>17</v>
      </c>
      <c r="I2363" t="s">
        <v>18</v>
      </c>
      <c r="J2363" t="str">
        <f>"5146773473"</f>
        <v>5146773473</v>
      </c>
      <c r="K2363" t="s">
        <v>8611</v>
      </c>
      <c r="L2363" t="s">
        <v>220</v>
      </c>
      <c r="M2363" t="s">
        <v>21</v>
      </c>
    </row>
    <row r="2364" spans="1:13" x14ac:dyDescent="0.35">
      <c r="A2364" t="str">
        <f>"633-3606"</f>
        <v>633-3606</v>
      </c>
      <c r="B2364" t="s">
        <v>8612</v>
      </c>
      <c r="C2364" t="str">
        <f>"11120"</f>
        <v>11120</v>
      </c>
      <c r="E2364" t="s">
        <v>7217</v>
      </c>
      <c r="F2364" t="s">
        <v>24</v>
      </c>
      <c r="G2364" t="s">
        <v>8613</v>
      </c>
      <c r="H2364" t="s">
        <v>17</v>
      </c>
      <c r="I2364" t="s">
        <v>18</v>
      </c>
      <c r="J2364" t="str">
        <f>"4385428236"</f>
        <v>4385428236</v>
      </c>
      <c r="K2364" t="s">
        <v>8614</v>
      </c>
      <c r="L2364" t="s">
        <v>76</v>
      </c>
      <c r="M2364" t="s">
        <v>21</v>
      </c>
    </row>
    <row r="2365" spans="1:13" x14ac:dyDescent="0.35">
      <c r="A2365" t="str">
        <f>"634-2415"</f>
        <v>634-2415</v>
      </c>
      <c r="B2365" t="s">
        <v>8615</v>
      </c>
      <c r="C2365" t="str">
        <f>"5222"</f>
        <v>5222</v>
      </c>
      <c r="E2365" t="s">
        <v>7007</v>
      </c>
      <c r="F2365" t="s">
        <v>24</v>
      </c>
      <c r="G2365" t="s">
        <v>8616</v>
      </c>
      <c r="H2365" t="s">
        <v>17</v>
      </c>
      <c r="I2365" t="s">
        <v>18</v>
      </c>
      <c r="J2365" t="str">
        <f>"4385092734"</f>
        <v>4385092734</v>
      </c>
      <c r="K2365" t="s">
        <v>8617</v>
      </c>
      <c r="L2365" t="s">
        <v>193</v>
      </c>
      <c r="M2365" t="s">
        <v>21</v>
      </c>
    </row>
    <row r="2366" spans="1:13" x14ac:dyDescent="0.35">
      <c r="A2366" t="str">
        <f>"634-2606"</f>
        <v>634-2606</v>
      </c>
      <c r="B2366" t="s">
        <v>8618</v>
      </c>
      <c r="C2366" t="str">
        <f>"7415"</f>
        <v>7415</v>
      </c>
      <c r="D2366" t="str">
        <f>"205"</f>
        <v>205</v>
      </c>
      <c r="E2366" t="s">
        <v>100</v>
      </c>
      <c r="F2366" t="s">
        <v>40</v>
      </c>
      <c r="G2366" t="s">
        <v>5345</v>
      </c>
      <c r="H2366" t="s">
        <v>17</v>
      </c>
      <c r="I2366" t="s">
        <v>18</v>
      </c>
      <c r="J2366" t="str">
        <f>"5145180454"</f>
        <v>5145180454</v>
      </c>
      <c r="K2366" t="s">
        <v>8619</v>
      </c>
      <c r="L2366" t="s">
        <v>305</v>
      </c>
      <c r="M2366" t="s">
        <v>21</v>
      </c>
    </row>
    <row r="2367" spans="1:13" x14ac:dyDescent="0.35">
      <c r="A2367" t="str">
        <f>"094-8562"</f>
        <v>094-8562</v>
      </c>
      <c r="B2367" t="s">
        <v>8620</v>
      </c>
      <c r="C2367" t="str">
        <f>"8037"</f>
        <v>8037</v>
      </c>
      <c r="E2367" t="s">
        <v>129</v>
      </c>
      <c r="F2367" t="s">
        <v>24</v>
      </c>
      <c r="G2367" t="s">
        <v>8621</v>
      </c>
      <c r="H2367" t="s">
        <v>17</v>
      </c>
      <c r="I2367" t="s">
        <v>18</v>
      </c>
      <c r="J2367" t="str">
        <f>"5149652889"</f>
        <v>5149652889</v>
      </c>
      <c r="K2367" t="s">
        <v>8622</v>
      </c>
      <c r="L2367" t="s">
        <v>319</v>
      </c>
      <c r="M2367" t="s">
        <v>21</v>
      </c>
    </row>
    <row r="2368" spans="1:13" x14ac:dyDescent="0.35">
      <c r="A2368" t="str">
        <f>"137-5824"</f>
        <v>137-5824</v>
      </c>
      <c r="B2368" t="s">
        <v>8623</v>
      </c>
      <c r="C2368" t="str">
        <f>"5800"</f>
        <v>5800</v>
      </c>
      <c r="E2368" t="s">
        <v>8624</v>
      </c>
      <c r="F2368" t="s">
        <v>24</v>
      </c>
      <c r="G2368" t="s">
        <v>8625</v>
      </c>
      <c r="H2368" t="s">
        <v>17</v>
      </c>
      <c r="I2368" t="s">
        <v>18</v>
      </c>
      <c r="J2368" t="str">
        <f>"5146215662"</f>
        <v>5146215662</v>
      </c>
      <c r="K2368" t="s">
        <v>8626</v>
      </c>
      <c r="L2368" t="s">
        <v>198</v>
      </c>
      <c r="M2368" t="s">
        <v>21</v>
      </c>
    </row>
    <row r="2369" spans="1:13" x14ac:dyDescent="0.35">
      <c r="A2369" t="str">
        <f>"207-2150"</f>
        <v>207-2150</v>
      </c>
      <c r="B2369" t="s">
        <v>8627</v>
      </c>
      <c r="C2369" t="str">
        <f>"1910"</f>
        <v>1910</v>
      </c>
      <c r="E2369" t="s">
        <v>5530</v>
      </c>
      <c r="F2369" t="s">
        <v>143</v>
      </c>
      <c r="G2369" t="s">
        <v>8628</v>
      </c>
      <c r="H2369" t="s">
        <v>17</v>
      </c>
      <c r="I2369" t="s">
        <v>18</v>
      </c>
      <c r="J2369" t="str">
        <f>"4388387956"</f>
        <v>4388387956</v>
      </c>
      <c r="K2369" t="s">
        <v>8629</v>
      </c>
      <c r="L2369" t="s">
        <v>869</v>
      </c>
      <c r="M2369" t="s">
        <v>21</v>
      </c>
    </row>
    <row r="2370" spans="1:13" x14ac:dyDescent="0.35">
      <c r="A2370" t="str">
        <f>"207-3287"</f>
        <v>207-3287</v>
      </c>
      <c r="B2370" t="s">
        <v>8630</v>
      </c>
      <c r="C2370" t="str">
        <f>"307"</f>
        <v>307</v>
      </c>
      <c r="E2370" t="s">
        <v>8631</v>
      </c>
      <c r="F2370" t="s">
        <v>40</v>
      </c>
      <c r="G2370" t="s">
        <v>8632</v>
      </c>
      <c r="H2370" t="s">
        <v>17</v>
      </c>
      <c r="I2370" t="s">
        <v>18</v>
      </c>
      <c r="J2370" t="str">
        <f>"4385270140"</f>
        <v>4385270140</v>
      </c>
      <c r="K2370" t="s">
        <v>8633</v>
      </c>
      <c r="L2370" t="s">
        <v>350</v>
      </c>
      <c r="M2370" t="s">
        <v>21</v>
      </c>
    </row>
    <row r="2371" spans="1:13" x14ac:dyDescent="0.35">
      <c r="A2371" t="str">
        <f>"218-7815"</f>
        <v>218-7815</v>
      </c>
      <c r="B2371" t="s">
        <v>8634</v>
      </c>
      <c r="C2371" t="str">
        <f>"538"</f>
        <v>538</v>
      </c>
      <c r="E2371" t="s">
        <v>4262</v>
      </c>
      <c r="F2371" t="s">
        <v>54</v>
      </c>
      <c r="G2371" t="s">
        <v>8635</v>
      </c>
      <c r="H2371" t="s">
        <v>17</v>
      </c>
      <c r="I2371" t="s">
        <v>18</v>
      </c>
      <c r="J2371" t="str">
        <f>"5145941954"</f>
        <v>5145941954</v>
      </c>
      <c r="K2371" t="s">
        <v>8636</v>
      </c>
      <c r="L2371" t="s">
        <v>86</v>
      </c>
      <c r="M2371" t="s">
        <v>21</v>
      </c>
    </row>
    <row r="2372" spans="1:13" x14ac:dyDescent="0.35">
      <c r="A2372" t="str">
        <f>"226-5974"</f>
        <v>226-5974</v>
      </c>
      <c r="B2372" t="s">
        <v>8637</v>
      </c>
      <c r="C2372" t="str">
        <f>"5564"</f>
        <v>5564</v>
      </c>
      <c r="E2372" t="s">
        <v>5330</v>
      </c>
      <c r="F2372" t="s">
        <v>24</v>
      </c>
      <c r="G2372" t="s">
        <v>5331</v>
      </c>
      <c r="H2372" t="s">
        <v>17</v>
      </c>
      <c r="I2372" t="s">
        <v>18</v>
      </c>
      <c r="J2372" t="str">
        <f>"5148366420"</f>
        <v>5148366420</v>
      </c>
      <c r="K2372" t="s">
        <v>8638</v>
      </c>
      <c r="L2372" t="s">
        <v>27</v>
      </c>
      <c r="M2372" t="s">
        <v>21</v>
      </c>
    </row>
    <row r="2373" spans="1:13" x14ac:dyDescent="0.35">
      <c r="A2373" t="str">
        <f>"226-8977"</f>
        <v>226-8977</v>
      </c>
      <c r="B2373" t="s">
        <v>8639</v>
      </c>
      <c r="C2373" t="str">
        <f>"1970"</f>
        <v>1970</v>
      </c>
      <c r="E2373" t="s">
        <v>8640</v>
      </c>
      <c r="F2373" t="s">
        <v>7863</v>
      </c>
      <c r="G2373" t="s">
        <v>8641</v>
      </c>
      <c r="H2373" t="s">
        <v>17</v>
      </c>
      <c r="I2373" t="s">
        <v>18</v>
      </c>
      <c r="J2373" t="str">
        <f>"5149942414"</f>
        <v>5149942414</v>
      </c>
      <c r="K2373" t="s">
        <v>8642</v>
      </c>
      <c r="L2373" t="s">
        <v>396</v>
      </c>
      <c r="M2373" t="s">
        <v>21</v>
      </c>
    </row>
    <row r="2374" spans="1:13" x14ac:dyDescent="0.35">
      <c r="A2374" t="str">
        <f>"633-8441"</f>
        <v>633-8441</v>
      </c>
      <c r="B2374" t="s">
        <v>8643</v>
      </c>
      <c r="C2374" t="str">
        <f>"1420"</f>
        <v>1420</v>
      </c>
      <c r="D2374" t="str">
        <f>"510"</f>
        <v>510</v>
      </c>
      <c r="E2374" t="s">
        <v>8644</v>
      </c>
      <c r="F2374" t="s">
        <v>54</v>
      </c>
      <c r="G2374" t="s">
        <v>8645</v>
      </c>
      <c r="H2374" t="s">
        <v>17</v>
      </c>
      <c r="I2374" t="s">
        <v>18</v>
      </c>
      <c r="J2374" t="str">
        <f>"4383933665"</f>
        <v>4383933665</v>
      </c>
      <c r="K2374" t="s">
        <v>8646</v>
      </c>
      <c r="L2374" t="s">
        <v>39</v>
      </c>
      <c r="M2374" t="s">
        <v>21</v>
      </c>
    </row>
    <row r="2375" spans="1:13" x14ac:dyDescent="0.35">
      <c r="A2375" t="str">
        <f>"162-2767"</f>
        <v>162-2767</v>
      </c>
      <c r="B2375" t="s">
        <v>8647</v>
      </c>
      <c r="C2375" t="str">
        <f>"4414"</f>
        <v>4414</v>
      </c>
      <c r="E2375" t="s">
        <v>4140</v>
      </c>
      <c r="F2375" t="s">
        <v>54</v>
      </c>
      <c r="G2375" t="s">
        <v>8648</v>
      </c>
      <c r="H2375" t="s">
        <v>17</v>
      </c>
      <c r="I2375" t="s">
        <v>18</v>
      </c>
      <c r="J2375" t="str">
        <f>"4384074431"</f>
        <v>4384074431</v>
      </c>
      <c r="K2375" t="s">
        <v>8649</v>
      </c>
      <c r="L2375" t="s">
        <v>313</v>
      </c>
      <c r="M2375" t="s">
        <v>21</v>
      </c>
    </row>
    <row r="2376" spans="1:13" x14ac:dyDescent="0.35">
      <c r="A2376" t="str">
        <f>"212-7440"</f>
        <v>212-7440</v>
      </c>
      <c r="B2376" t="s">
        <v>8650</v>
      </c>
      <c r="C2376" t="str">
        <f>"26"</f>
        <v>26</v>
      </c>
      <c r="E2376" t="s">
        <v>8651</v>
      </c>
      <c r="F2376" t="s">
        <v>2174</v>
      </c>
      <c r="G2376" t="s">
        <v>8652</v>
      </c>
      <c r="H2376" t="s">
        <v>17</v>
      </c>
      <c r="I2376" t="s">
        <v>18</v>
      </c>
      <c r="J2376" t="str">
        <f>"8192464591"</f>
        <v>8192464591</v>
      </c>
      <c r="K2376" t="s">
        <v>8653</v>
      </c>
      <c r="L2376" t="s">
        <v>396</v>
      </c>
      <c r="M2376" t="s">
        <v>21</v>
      </c>
    </row>
    <row r="2377" spans="1:13" x14ac:dyDescent="0.35">
      <c r="A2377" t="str">
        <f>"213-0129"</f>
        <v>213-0129</v>
      </c>
      <c r="B2377" t="s">
        <v>8654</v>
      </c>
      <c r="C2377" t="str">
        <f>"12394"</f>
        <v>12394</v>
      </c>
      <c r="E2377" t="s">
        <v>1901</v>
      </c>
      <c r="F2377" t="s">
        <v>24</v>
      </c>
      <c r="G2377" t="s">
        <v>8655</v>
      </c>
      <c r="H2377" t="s">
        <v>17</v>
      </c>
      <c r="I2377" t="s">
        <v>18</v>
      </c>
      <c r="J2377" t="str">
        <f>"4389784396"</f>
        <v>4389784396</v>
      </c>
      <c r="K2377" t="s">
        <v>8656</v>
      </c>
      <c r="L2377" t="s">
        <v>220</v>
      </c>
      <c r="M2377" t="s">
        <v>21</v>
      </c>
    </row>
    <row r="2378" spans="1:13" x14ac:dyDescent="0.35">
      <c r="A2378" t="str">
        <f>"247-1386"</f>
        <v>247-1386</v>
      </c>
      <c r="B2378" t="s">
        <v>8657</v>
      </c>
      <c r="C2378" t="str">
        <f>"421"</f>
        <v>421</v>
      </c>
      <c r="E2378" t="s">
        <v>8658</v>
      </c>
      <c r="F2378" t="s">
        <v>143</v>
      </c>
      <c r="G2378" t="s">
        <v>8659</v>
      </c>
      <c r="H2378" t="s">
        <v>17</v>
      </c>
      <c r="I2378" t="s">
        <v>18</v>
      </c>
      <c r="J2378" t="str">
        <f>"5147296507"</f>
        <v>5147296507</v>
      </c>
      <c r="K2378" t="s">
        <v>8660</v>
      </c>
      <c r="L2378" t="s">
        <v>396</v>
      </c>
      <c r="M2378" t="s">
        <v>21</v>
      </c>
    </row>
    <row r="2379" spans="1:13" x14ac:dyDescent="0.35">
      <c r="A2379" t="str">
        <f>"247-1981"</f>
        <v>247-1981</v>
      </c>
      <c r="B2379" t="s">
        <v>8661</v>
      </c>
      <c r="C2379" t="str">
        <f>"8592"</f>
        <v>8592</v>
      </c>
      <c r="E2379" t="s">
        <v>8662</v>
      </c>
      <c r="F2379" t="s">
        <v>24</v>
      </c>
      <c r="G2379" t="s">
        <v>4833</v>
      </c>
      <c r="H2379" t="s">
        <v>17</v>
      </c>
      <c r="I2379" t="s">
        <v>18</v>
      </c>
      <c r="J2379" t="str">
        <f>"4383472120"</f>
        <v>4383472120</v>
      </c>
      <c r="K2379" t="s">
        <v>8663</v>
      </c>
      <c r="L2379" t="s">
        <v>396</v>
      </c>
      <c r="M2379" t="s">
        <v>21</v>
      </c>
    </row>
    <row r="2380" spans="1:13" x14ac:dyDescent="0.35">
      <c r="A2380" t="str">
        <f>"247-2517"</f>
        <v>247-2517</v>
      </c>
      <c r="B2380" t="s">
        <v>8664</v>
      </c>
      <c r="C2380" t="str">
        <f>"12179"</f>
        <v>12179</v>
      </c>
      <c r="E2380" t="s">
        <v>8665</v>
      </c>
      <c r="F2380" t="s">
        <v>24</v>
      </c>
      <c r="G2380" t="s">
        <v>8666</v>
      </c>
      <c r="H2380" t="s">
        <v>17</v>
      </c>
      <c r="I2380" t="s">
        <v>18</v>
      </c>
      <c r="J2380" t="str">
        <f>"4389381167"</f>
        <v>4389381167</v>
      </c>
      <c r="K2380" t="s">
        <v>8667</v>
      </c>
      <c r="L2380" t="s">
        <v>396</v>
      </c>
      <c r="M2380" t="s">
        <v>21</v>
      </c>
    </row>
    <row r="2381" spans="1:13" x14ac:dyDescent="0.35">
      <c r="A2381" t="str">
        <f>"226-4834"</f>
        <v>226-4834</v>
      </c>
      <c r="B2381" t="s">
        <v>8668</v>
      </c>
      <c r="C2381" t="str">
        <f>"8125"</f>
        <v>8125</v>
      </c>
      <c r="D2381" t="str">
        <f>"16"</f>
        <v>16</v>
      </c>
      <c r="E2381" t="s">
        <v>4258</v>
      </c>
      <c r="F2381" t="s">
        <v>24</v>
      </c>
      <c r="G2381" t="s">
        <v>8669</v>
      </c>
      <c r="H2381" t="s">
        <v>17</v>
      </c>
      <c r="I2381" t="s">
        <v>18</v>
      </c>
      <c r="J2381" t="str">
        <f>"4389398813"</f>
        <v>4389398813</v>
      </c>
      <c r="K2381" t="s">
        <v>8670</v>
      </c>
      <c r="L2381" t="s">
        <v>132</v>
      </c>
      <c r="M2381" t="s">
        <v>21</v>
      </c>
    </row>
    <row r="2382" spans="1:13" x14ac:dyDescent="0.35">
      <c r="A2382" t="str">
        <f>"238-0160"</f>
        <v>238-0160</v>
      </c>
      <c r="B2382" t="s">
        <v>8671</v>
      </c>
      <c r="C2382" t="str">
        <f>"144"</f>
        <v>144</v>
      </c>
      <c r="E2382" t="s">
        <v>8672</v>
      </c>
      <c r="F2382" t="s">
        <v>157</v>
      </c>
      <c r="G2382" t="s">
        <v>8673</v>
      </c>
      <c r="H2382" t="s">
        <v>17</v>
      </c>
      <c r="I2382" t="s">
        <v>18</v>
      </c>
      <c r="J2382" t="str">
        <f>"4389389893"</f>
        <v>4389389893</v>
      </c>
      <c r="K2382" t="s">
        <v>8674</v>
      </c>
      <c r="L2382" t="s">
        <v>383</v>
      </c>
      <c r="M2382" t="s">
        <v>21</v>
      </c>
    </row>
    <row r="2383" spans="1:13" x14ac:dyDescent="0.35">
      <c r="A2383" t="str">
        <f>"238-2591"</f>
        <v>238-2591</v>
      </c>
      <c r="B2383" t="s">
        <v>8675</v>
      </c>
      <c r="C2383" t="str">
        <f>"755"</f>
        <v>755</v>
      </c>
      <c r="E2383" t="s">
        <v>519</v>
      </c>
      <c r="F2383" t="s">
        <v>24</v>
      </c>
      <c r="G2383" t="s">
        <v>8676</v>
      </c>
      <c r="H2383" t="s">
        <v>17</v>
      </c>
      <c r="I2383" t="s">
        <v>18</v>
      </c>
      <c r="J2383" t="str">
        <f>"4384096464"</f>
        <v>4384096464</v>
      </c>
      <c r="K2383" t="s">
        <v>8677</v>
      </c>
      <c r="L2383" t="s">
        <v>76</v>
      </c>
      <c r="M2383" t="s">
        <v>21</v>
      </c>
    </row>
    <row r="2384" spans="1:13" x14ac:dyDescent="0.35">
      <c r="A2384" t="str">
        <f>"243-9696"</f>
        <v>243-9696</v>
      </c>
      <c r="B2384" t="s">
        <v>8678</v>
      </c>
      <c r="C2384" t="str">
        <f>"8281"</f>
        <v>8281</v>
      </c>
      <c r="D2384" t="str">
        <f>"303"</f>
        <v>303</v>
      </c>
      <c r="E2384" t="s">
        <v>6045</v>
      </c>
      <c r="F2384" t="s">
        <v>24</v>
      </c>
      <c r="G2384" t="s">
        <v>8679</v>
      </c>
      <c r="H2384" t="s">
        <v>17</v>
      </c>
      <c r="I2384" t="s">
        <v>18</v>
      </c>
      <c r="J2384" t="str">
        <f>"4384975751"</f>
        <v>4384975751</v>
      </c>
      <c r="K2384" t="s">
        <v>8680</v>
      </c>
      <c r="L2384" t="s">
        <v>29</v>
      </c>
      <c r="M2384" t="s">
        <v>21</v>
      </c>
    </row>
    <row r="2385" spans="1:13" x14ac:dyDescent="0.35">
      <c r="A2385" t="str">
        <f>"244-1729"</f>
        <v>244-1729</v>
      </c>
      <c r="B2385" t="s">
        <v>8681</v>
      </c>
      <c r="C2385" t="str">
        <f>"116"</f>
        <v>116</v>
      </c>
      <c r="E2385" t="s">
        <v>4483</v>
      </c>
      <c r="F2385" t="s">
        <v>1175</v>
      </c>
      <c r="G2385" t="s">
        <v>8682</v>
      </c>
      <c r="H2385" t="s">
        <v>17</v>
      </c>
      <c r="I2385" t="s">
        <v>18</v>
      </c>
      <c r="J2385" t="str">
        <f>"5147728353"</f>
        <v>5147728353</v>
      </c>
      <c r="K2385" t="s">
        <v>8683</v>
      </c>
      <c r="L2385" t="s">
        <v>86</v>
      </c>
      <c r="M2385" t="s">
        <v>21</v>
      </c>
    </row>
    <row r="2386" spans="1:13" x14ac:dyDescent="0.35">
      <c r="A2386" t="str">
        <f>"246-5519"</f>
        <v>246-5519</v>
      </c>
      <c r="B2386" t="s">
        <v>8684</v>
      </c>
      <c r="C2386" t="str">
        <f>"11708"</f>
        <v>11708</v>
      </c>
      <c r="E2386" t="s">
        <v>8685</v>
      </c>
      <c r="F2386" t="s">
        <v>24</v>
      </c>
      <c r="G2386" t="s">
        <v>8686</v>
      </c>
      <c r="H2386" t="s">
        <v>17</v>
      </c>
      <c r="I2386" t="s">
        <v>18</v>
      </c>
      <c r="J2386" t="str">
        <f>"4388635701"</f>
        <v>4388635701</v>
      </c>
      <c r="K2386" t="s">
        <v>8687</v>
      </c>
      <c r="L2386" t="s">
        <v>86</v>
      </c>
      <c r="M2386" t="s">
        <v>21</v>
      </c>
    </row>
    <row r="2387" spans="1:13" x14ac:dyDescent="0.35">
      <c r="A2387" t="str">
        <f>"246-5588"</f>
        <v>246-5588</v>
      </c>
      <c r="B2387" t="s">
        <v>8688</v>
      </c>
      <c r="C2387" t="str">
        <f>"4191"</f>
        <v>4191</v>
      </c>
      <c r="D2387" t="str">
        <f>"7"</f>
        <v>7</v>
      </c>
      <c r="E2387" t="s">
        <v>5758</v>
      </c>
      <c r="F2387" t="s">
        <v>24</v>
      </c>
      <c r="G2387" t="s">
        <v>8689</v>
      </c>
      <c r="H2387" t="s">
        <v>17</v>
      </c>
      <c r="I2387" t="s">
        <v>18</v>
      </c>
      <c r="J2387" t="str">
        <f>"5144642026"</f>
        <v>5144642026</v>
      </c>
      <c r="K2387" t="s">
        <v>8690</v>
      </c>
      <c r="L2387" t="s">
        <v>86</v>
      </c>
      <c r="M2387" t="s">
        <v>21</v>
      </c>
    </row>
    <row r="2388" spans="1:13" x14ac:dyDescent="0.35">
      <c r="A2388" t="str">
        <f>"247-8006"</f>
        <v>247-8006</v>
      </c>
      <c r="B2388" t="s">
        <v>8691</v>
      </c>
      <c r="C2388" t="str">
        <f>"9455"</f>
        <v>9455</v>
      </c>
      <c r="D2388" t="str">
        <f>"2"</f>
        <v>2</v>
      </c>
      <c r="E2388" t="s">
        <v>8692</v>
      </c>
      <c r="F2388" t="s">
        <v>40</v>
      </c>
      <c r="G2388" t="s">
        <v>8693</v>
      </c>
      <c r="H2388" t="s">
        <v>17</v>
      </c>
      <c r="I2388" t="s">
        <v>18</v>
      </c>
      <c r="J2388" t="str">
        <f>"5149701334"</f>
        <v>5149701334</v>
      </c>
      <c r="K2388" t="s">
        <v>8694</v>
      </c>
      <c r="L2388" t="s">
        <v>86</v>
      </c>
      <c r="M2388" t="s">
        <v>21</v>
      </c>
    </row>
    <row r="2389" spans="1:13" x14ac:dyDescent="0.35">
      <c r="A2389" t="str">
        <f>"248-0168"</f>
        <v>248-0168</v>
      </c>
      <c r="B2389" t="s">
        <v>8695</v>
      </c>
      <c r="C2389" t="str">
        <f>"9300"</f>
        <v>9300</v>
      </c>
      <c r="E2389" t="s">
        <v>406</v>
      </c>
      <c r="F2389" t="s">
        <v>24</v>
      </c>
      <c r="G2389" t="s">
        <v>8696</v>
      </c>
      <c r="H2389" t="s">
        <v>17</v>
      </c>
      <c r="I2389" t="s">
        <v>18</v>
      </c>
      <c r="J2389" t="str">
        <f>"5146603010"</f>
        <v>5146603010</v>
      </c>
      <c r="K2389" t="s">
        <v>8697</v>
      </c>
      <c r="L2389" t="s">
        <v>86</v>
      </c>
      <c r="M2389" t="s">
        <v>21</v>
      </c>
    </row>
    <row r="2390" spans="1:13" x14ac:dyDescent="0.35">
      <c r="A2390" t="str">
        <f>"248-0644"</f>
        <v>248-0644</v>
      </c>
      <c r="B2390" t="s">
        <v>8698</v>
      </c>
      <c r="C2390" t="str">
        <f>"8674"</f>
        <v>8674</v>
      </c>
      <c r="E2390" t="s">
        <v>8699</v>
      </c>
      <c r="F2390" t="s">
        <v>40</v>
      </c>
      <c r="G2390" t="s">
        <v>8700</v>
      </c>
      <c r="H2390" t="s">
        <v>17</v>
      </c>
      <c r="I2390" t="s">
        <v>18</v>
      </c>
      <c r="J2390" t="str">
        <f>"4389282157"</f>
        <v>4389282157</v>
      </c>
      <c r="K2390" t="s">
        <v>8701</v>
      </c>
      <c r="L2390" t="s">
        <v>76</v>
      </c>
      <c r="M2390" t="s">
        <v>21</v>
      </c>
    </row>
    <row r="2391" spans="1:13" x14ac:dyDescent="0.35">
      <c r="A2391" t="str">
        <f>"622-0480"</f>
        <v>622-0480</v>
      </c>
      <c r="B2391" t="s">
        <v>8702</v>
      </c>
      <c r="C2391" t="str">
        <f>"3977"</f>
        <v>3977</v>
      </c>
      <c r="E2391" t="s">
        <v>8703</v>
      </c>
      <c r="F2391" t="s">
        <v>54</v>
      </c>
      <c r="G2391" t="s">
        <v>8704</v>
      </c>
      <c r="H2391" t="s">
        <v>17</v>
      </c>
      <c r="I2391" t="s">
        <v>18</v>
      </c>
      <c r="J2391" t="str">
        <f>"5145834433"</f>
        <v>5145834433</v>
      </c>
      <c r="K2391" t="s">
        <v>8705</v>
      </c>
      <c r="L2391" t="s">
        <v>869</v>
      </c>
      <c r="M2391" t="s">
        <v>21</v>
      </c>
    </row>
    <row r="2392" spans="1:13" x14ac:dyDescent="0.35">
      <c r="A2392" t="str">
        <f>"229-1306"</f>
        <v>229-1306</v>
      </c>
      <c r="B2392" t="s">
        <v>8706</v>
      </c>
      <c r="C2392" t="str">
        <f>"5230"</f>
        <v>5230</v>
      </c>
      <c r="E2392" t="s">
        <v>8707</v>
      </c>
      <c r="F2392" t="s">
        <v>24</v>
      </c>
      <c r="G2392" t="s">
        <v>8708</v>
      </c>
      <c r="H2392" t="s">
        <v>17</v>
      </c>
      <c r="I2392" t="s">
        <v>18</v>
      </c>
      <c r="J2392" t="str">
        <f>"4385089213"</f>
        <v>4385089213</v>
      </c>
      <c r="K2392" t="s">
        <v>8709</v>
      </c>
      <c r="L2392" t="s">
        <v>76</v>
      </c>
      <c r="M2392" t="s">
        <v>21</v>
      </c>
    </row>
    <row r="2393" spans="1:13" x14ac:dyDescent="0.35">
      <c r="A2393" t="str">
        <f>"628-7178"</f>
        <v>628-7178</v>
      </c>
      <c r="B2393" t="s">
        <v>8710</v>
      </c>
      <c r="C2393" t="str">
        <f>"9185"</f>
        <v>9185</v>
      </c>
      <c r="D2393" t="str">
        <f>"311"</f>
        <v>311</v>
      </c>
      <c r="E2393" t="s">
        <v>8711</v>
      </c>
      <c r="F2393" t="s">
        <v>24</v>
      </c>
      <c r="G2393" t="s">
        <v>8712</v>
      </c>
      <c r="H2393" t="s">
        <v>17</v>
      </c>
      <c r="I2393" t="s">
        <v>18</v>
      </c>
      <c r="J2393" t="str">
        <f>"8194603863"</f>
        <v>8194603863</v>
      </c>
      <c r="K2393" t="s">
        <v>8713</v>
      </c>
      <c r="L2393" t="s">
        <v>86</v>
      </c>
      <c r="M2393" t="s">
        <v>21</v>
      </c>
    </row>
    <row r="2394" spans="1:13" x14ac:dyDescent="0.35">
      <c r="A2394" t="str">
        <f>"628-6696"</f>
        <v>628-6696</v>
      </c>
      <c r="B2394" t="s">
        <v>8714</v>
      </c>
      <c r="C2394" t="str">
        <f>"120"</f>
        <v>120</v>
      </c>
      <c r="D2394" t="str">
        <f>"107"</f>
        <v>107</v>
      </c>
      <c r="E2394" t="s">
        <v>8715</v>
      </c>
      <c r="F2394" t="s">
        <v>624</v>
      </c>
      <c r="G2394" t="s">
        <v>8716</v>
      </c>
      <c r="H2394" t="s">
        <v>17</v>
      </c>
      <c r="I2394" t="s">
        <v>18</v>
      </c>
      <c r="J2394" t="str">
        <f>"4385284782"</f>
        <v>4385284782</v>
      </c>
      <c r="K2394" t="s">
        <v>8717</v>
      </c>
      <c r="L2394" t="s">
        <v>220</v>
      </c>
      <c r="M2394" t="s">
        <v>21</v>
      </c>
    </row>
    <row r="2395" spans="1:13" x14ac:dyDescent="0.35">
      <c r="A2395" t="str">
        <f>"628-7583"</f>
        <v>628-7583</v>
      </c>
      <c r="B2395" t="s">
        <v>8718</v>
      </c>
      <c r="C2395" t="str">
        <f>"6484"</f>
        <v>6484</v>
      </c>
      <c r="E2395" t="s">
        <v>8719</v>
      </c>
      <c r="F2395" t="s">
        <v>24</v>
      </c>
      <c r="G2395" t="s">
        <v>8720</v>
      </c>
      <c r="H2395" t="s">
        <v>17</v>
      </c>
      <c r="I2395" t="s">
        <v>18</v>
      </c>
      <c r="J2395" t="str">
        <f>"4387282219"</f>
        <v>4387282219</v>
      </c>
      <c r="K2395" t="s">
        <v>8721</v>
      </c>
      <c r="L2395" t="s">
        <v>396</v>
      </c>
      <c r="M2395" t="s">
        <v>21</v>
      </c>
    </row>
    <row r="2396" spans="1:13" x14ac:dyDescent="0.35">
      <c r="A2396" t="str">
        <f>"629-0818"</f>
        <v>629-0818</v>
      </c>
      <c r="B2396" t="s">
        <v>8722</v>
      </c>
      <c r="C2396" t="str">
        <f>"6962"</f>
        <v>6962</v>
      </c>
      <c r="E2396" t="s">
        <v>5681</v>
      </c>
      <c r="F2396" t="s">
        <v>24</v>
      </c>
      <c r="G2396" t="s">
        <v>7347</v>
      </c>
      <c r="H2396" t="s">
        <v>17</v>
      </c>
      <c r="I2396" t="s">
        <v>18</v>
      </c>
      <c r="J2396" t="str">
        <f>"5142175471"</f>
        <v>5142175471</v>
      </c>
      <c r="K2396" t="s">
        <v>8723</v>
      </c>
      <c r="L2396" t="s">
        <v>86</v>
      </c>
      <c r="M2396" t="s">
        <v>21</v>
      </c>
    </row>
    <row r="2397" spans="1:13" x14ac:dyDescent="0.35">
      <c r="A2397" t="str">
        <f>"629-0831"</f>
        <v>629-0831</v>
      </c>
      <c r="B2397" t="s">
        <v>8724</v>
      </c>
      <c r="C2397" t="str">
        <f>"4757"</f>
        <v>4757</v>
      </c>
      <c r="E2397" t="s">
        <v>105</v>
      </c>
      <c r="F2397" t="s">
        <v>24</v>
      </c>
      <c r="G2397" t="s">
        <v>8725</v>
      </c>
      <c r="H2397" t="s">
        <v>17</v>
      </c>
      <c r="I2397" t="s">
        <v>18</v>
      </c>
      <c r="J2397" t="str">
        <f>"4382292015"</f>
        <v>4382292015</v>
      </c>
      <c r="K2397" t="s">
        <v>8726</v>
      </c>
      <c r="L2397" t="s">
        <v>86</v>
      </c>
      <c r="M2397" t="s">
        <v>21</v>
      </c>
    </row>
    <row r="2398" spans="1:13" x14ac:dyDescent="0.35">
      <c r="A2398" t="str">
        <f>"629-0847"</f>
        <v>629-0847</v>
      </c>
      <c r="B2398" t="s">
        <v>8727</v>
      </c>
      <c r="C2398" t="str">
        <f>"9226"</f>
        <v>9226</v>
      </c>
      <c r="D2398" t="str">
        <f>"9226"</f>
        <v>9226</v>
      </c>
      <c r="E2398" t="s">
        <v>8728</v>
      </c>
      <c r="F2398" t="s">
        <v>40</v>
      </c>
      <c r="G2398" t="s">
        <v>8729</v>
      </c>
      <c r="H2398" t="s">
        <v>17</v>
      </c>
      <c r="I2398" t="s">
        <v>18</v>
      </c>
      <c r="J2398" t="str">
        <f>"4385261878"</f>
        <v>4385261878</v>
      </c>
      <c r="K2398" t="s">
        <v>8730</v>
      </c>
      <c r="L2398" t="s">
        <v>396</v>
      </c>
      <c r="M2398" t="s">
        <v>21</v>
      </c>
    </row>
    <row r="2399" spans="1:13" x14ac:dyDescent="0.35">
      <c r="A2399" t="str">
        <f>"631-5961"</f>
        <v>631-5961</v>
      </c>
      <c r="B2399" t="s">
        <v>8731</v>
      </c>
      <c r="C2399" t="str">
        <f>"1954"</f>
        <v>1954</v>
      </c>
      <c r="D2399" t="str">
        <f>"8"</f>
        <v>8</v>
      </c>
      <c r="E2399" t="s">
        <v>8732</v>
      </c>
      <c r="F2399" t="s">
        <v>24</v>
      </c>
      <c r="G2399" t="s">
        <v>8733</v>
      </c>
      <c r="H2399" t="s">
        <v>17</v>
      </c>
      <c r="I2399" t="s">
        <v>18</v>
      </c>
      <c r="J2399" t="str">
        <f>"5146492421"</f>
        <v>5146492421</v>
      </c>
      <c r="K2399" t="s">
        <v>8734</v>
      </c>
      <c r="L2399" t="s">
        <v>88</v>
      </c>
      <c r="M2399" t="s">
        <v>21</v>
      </c>
    </row>
    <row r="2400" spans="1:13" x14ac:dyDescent="0.35">
      <c r="A2400" t="str">
        <f>"631-6351"</f>
        <v>631-6351</v>
      </c>
      <c r="B2400" t="s">
        <v>8735</v>
      </c>
      <c r="C2400" t="str">
        <f>"134"</f>
        <v>134</v>
      </c>
      <c r="E2400" t="s">
        <v>8736</v>
      </c>
      <c r="F2400" t="s">
        <v>54</v>
      </c>
      <c r="G2400" t="s">
        <v>8737</v>
      </c>
      <c r="H2400" t="s">
        <v>17</v>
      </c>
      <c r="I2400" t="s">
        <v>18</v>
      </c>
      <c r="J2400" t="str">
        <f>"4384094941"</f>
        <v>4384094941</v>
      </c>
      <c r="K2400" t="s">
        <v>8738</v>
      </c>
      <c r="L2400" t="s">
        <v>86</v>
      </c>
      <c r="M2400" t="s">
        <v>21</v>
      </c>
    </row>
    <row r="2401" spans="1:13" x14ac:dyDescent="0.35">
      <c r="A2401" t="str">
        <f>"631-6402"</f>
        <v>631-6402</v>
      </c>
      <c r="B2401" t="s">
        <v>8739</v>
      </c>
      <c r="C2401" t="str">
        <f>"1525"</f>
        <v>1525</v>
      </c>
      <c r="D2401" t="str">
        <f>"30"</f>
        <v>30</v>
      </c>
      <c r="E2401" t="s">
        <v>942</v>
      </c>
      <c r="F2401" t="s">
        <v>24</v>
      </c>
      <c r="G2401" t="s">
        <v>8740</v>
      </c>
      <c r="H2401" t="s">
        <v>17</v>
      </c>
      <c r="I2401" t="s">
        <v>18</v>
      </c>
      <c r="J2401" t="str">
        <f>"5144309678"</f>
        <v>5144309678</v>
      </c>
      <c r="K2401" t="s">
        <v>8741</v>
      </c>
      <c r="L2401" t="s">
        <v>86</v>
      </c>
      <c r="M2401" t="s">
        <v>21</v>
      </c>
    </row>
    <row r="2402" spans="1:13" x14ac:dyDescent="0.35">
      <c r="A2402" t="str">
        <f>"633-8384"</f>
        <v>633-8384</v>
      </c>
      <c r="B2402" t="s">
        <v>8742</v>
      </c>
      <c r="C2402" t="str">
        <f>"4100"</f>
        <v>4100</v>
      </c>
      <c r="D2402" t="str">
        <f>"15"</f>
        <v>15</v>
      </c>
      <c r="E2402" t="s">
        <v>8743</v>
      </c>
      <c r="F2402" t="s">
        <v>24</v>
      </c>
      <c r="G2402" t="s">
        <v>8744</v>
      </c>
      <c r="H2402" t="s">
        <v>17</v>
      </c>
      <c r="I2402" t="s">
        <v>18</v>
      </c>
      <c r="J2402" t="str">
        <f>"4383365008"</f>
        <v>4383365008</v>
      </c>
      <c r="K2402" t="s">
        <v>8745</v>
      </c>
      <c r="L2402" t="s">
        <v>220</v>
      </c>
      <c r="M2402" t="s">
        <v>21</v>
      </c>
    </row>
    <row r="2403" spans="1:13" x14ac:dyDescent="0.35">
      <c r="A2403" t="str">
        <f>"633-8400"</f>
        <v>633-8400</v>
      </c>
      <c r="B2403" t="s">
        <v>8746</v>
      </c>
      <c r="C2403" t="str">
        <f>"10550"</f>
        <v>10550</v>
      </c>
      <c r="D2403" t="str">
        <f>"910"</f>
        <v>910</v>
      </c>
      <c r="E2403" t="s">
        <v>1990</v>
      </c>
      <c r="F2403" t="s">
        <v>24</v>
      </c>
      <c r="G2403" t="s">
        <v>8747</v>
      </c>
      <c r="H2403" t="s">
        <v>17</v>
      </c>
      <c r="I2403" t="s">
        <v>18</v>
      </c>
      <c r="J2403" t="str">
        <f>"5146077341"</f>
        <v>5146077341</v>
      </c>
      <c r="K2403" t="s">
        <v>8748</v>
      </c>
      <c r="L2403" t="s">
        <v>86</v>
      </c>
      <c r="M2403" t="s">
        <v>21</v>
      </c>
    </row>
    <row r="2404" spans="1:13" x14ac:dyDescent="0.35">
      <c r="A2404" t="str">
        <f>"633-8417"</f>
        <v>633-8417</v>
      </c>
      <c r="B2404" t="s">
        <v>8749</v>
      </c>
      <c r="C2404" t="str">
        <f>"2740"</f>
        <v>2740</v>
      </c>
      <c r="D2404" t="str">
        <f>"3"</f>
        <v>3</v>
      </c>
      <c r="E2404" t="s">
        <v>8750</v>
      </c>
      <c r="F2404" t="s">
        <v>24</v>
      </c>
      <c r="G2404" t="s">
        <v>8751</v>
      </c>
      <c r="H2404" t="s">
        <v>17</v>
      </c>
      <c r="I2404" t="s">
        <v>18</v>
      </c>
      <c r="J2404" t="str">
        <f>"4389921337"</f>
        <v>4389921337</v>
      </c>
      <c r="K2404" t="s">
        <v>8752</v>
      </c>
      <c r="L2404" t="s">
        <v>76</v>
      </c>
      <c r="M2404" t="s">
        <v>21</v>
      </c>
    </row>
    <row r="2405" spans="1:13" x14ac:dyDescent="0.35">
      <c r="A2405" t="str">
        <f>"127-8358"</f>
        <v>127-8358</v>
      </c>
      <c r="B2405" t="s">
        <v>8753</v>
      </c>
      <c r="C2405" t="str">
        <f>"14051"</f>
        <v>14051</v>
      </c>
      <c r="E2405" t="s">
        <v>1875</v>
      </c>
      <c r="F2405" t="s">
        <v>24</v>
      </c>
      <c r="G2405" t="s">
        <v>8754</v>
      </c>
      <c r="H2405" t="s">
        <v>17</v>
      </c>
      <c r="I2405" t="s">
        <v>18</v>
      </c>
      <c r="J2405" t="str">
        <f>"5144091864"</f>
        <v>5144091864</v>
      </c>
      <c r="K2405" t="s">
        <v>8755</v>
      </c>
      <c r="L2405" t="s">
        <v>27</v>
      </c>
      <c r="M2405" t="s">
        <v>21</v>
      </c>
    </row>
    <row r="2406" spans="1:13" x14ac:dyDescent="0.35">
      <c r="A2406" t="str">
        <f>"208-3238"</f>
        <v>208-3238</v>
      </c>
      <c r="B2406" t="s">
        <v>8756</v>
      </c>
      <c r="C2406" t="str">
        <f>"125"</f>
        <v>125</v>
      </c>
      <c r="E2406" t="s">
        <v>8757</v>
      </c>
      <c r="F2406" t="s">
        <v>54</v>
      </c>
      <c r="G2406" t="s">
        <v>8758</v>
      </c>
      <c r="H2406" t="s">
        <v>17</v>
      </c>
      <c r="I2406" t="s">
        <v>18</v>
      </c>
      <c r="J2406" t="str">
        <f>"4385010432"</f>
        <v>4385010432</v>
      </c>
      <c r="K2406" t="s">
        <v>8759</v>
      </c>
      <c r="L2406" t="s">
        <v>39</v>
      </c>
      <c r="M2406" t="s">
        <v>21</v>
      </c>
    </row>
    <row r="2407" spans="1:13" x14ac:dyDescent="0.35">
      <c r="A2407" t="str">
        <f>"197-3577"</f>
        <v>197-3577</v>
      </c>
      <c r="B2407" t="s">
        <v>8760</v>
      </c>
      <c r="C2407" t="str">
        <f>"8674"</f>
        <v>8674</v>
      </c>
      <c r="D2407" t="str">
        <f>"8674"</f>
        <v>8674</v>
      </c>
      <c r="E2407" t="s">
        <v>840</v>
      </c>
      <c r="F2407" t="s">
        <v>24</v>
      </c>
      <c r="G2407" t="s">
        <v>8761</v>
      </c>
      <c r="H2407" t="s">
        <v>17</v>
      </c>
      <c r="I2407" t="s">
        <v>18</v>
      </c>
      <c r="J2407" t="str">
        <f>"4387227044"</f>
        <v>4387227044</v>
      </c>
      <c r="K2407" t="s">
        <v>8762</v>
      </c>
      <c r="L2407" t="s">
        <v>220</v>
      </c>
      <c r="M2407" t="s">
        <v>21</v>
      </c>
    </row>
    <row r="2408" spans="1:13" x14ac:dyDescent="0.35">
      <c r="A2408" t="str">
        <f>"215-0518"</f>
        <v>215-0518</v>
      </c>
      <c r="B2408" t="s">
        <v>8763</v>
      </c>
      <c r="C2408" t="str">
        <f>"8464"</f>
        <v>8464</v>
      </c>
      <c r="E2408" t="s">
        <v>1121</v>
      </c>
      <c r="F2408" t="s">
        <v>24</v>
      </c>
      <c r="G2408" t="s">
        <v>8764</v>
      </c>
      <c r="H2408" t="s">
        <v>17</v>
      </c>
      <c r="I2408" t="s">
        <v>18</v>
      </c>
      <c r="J2408" t="str">
        <f>"4383656031"</f>
        <v>4383656031</v>
      </c>
      <c r="K2408" t="s">
        <v>8765</v>
      </c>
      <c r="L2408" t="s">
        <v>39</v>
      </c>
      <c r="M2408" t="s">
        <v>21</v>
      </c>
    </row>
    <row r="2409" spans="1:13" x14ac:dyDescent="0.35">
      <c r="A2409" t="str">
        <f>"221-0606"</f>
        <v>221-0606</v>
      </c>
      <c r="B2409" t="s">
        <v>8766</v>
      </c>
      <c r="C2409" t="str">
        <f>"272"</f>
        <v>272</v>
      </c>
      <c r="E2409" t="s">
        <v>8767</v>
      </c>
      <c r="F2409" t="s">
        <v>54</v>
      </c>
      <c r="G2409" t="s">
        <v>8768</v>
      </c>
      <c r="H2409" t="s">
        <v>17</v>
      </c>
      <c r="I2409" t="s">
        <v>18</v>
      </c>
      <c r="J2409" t="str">
        <f>"4385032806"</f>
        <v>4385032806</v>
      </c>
      <c r="K2409" t="s">
        <v>8769</v>
      </c>
      <c r="L2409" t="s">
        <v>86</v>
      </c>
      <c r="M2409" t="s">
        <v>21</v>
      </c>
    </row>
    <row r="2410" spans="1:13" x14ac:dyDescent="0.35">
      <c r="A2410" t="str">
        <f>"229-2938"</f>
        <v>229-2938</v>
      </c>
      <c r="B2410" t="s">
        <v>8770</v>
      </c>
      <c r="C2410" t="str">
        <f>"8901"</f>
        <v>8901</v>
      </c>
      <c r="E2410" t="s">
        <v>1631</v>
      </c>
      <c r="F2410" t="s">
        <v>24</v>
      </c>
      <c r="G2410" t="s">
        <v>8771</v>
      </c>
      <c r="H2410" t="s">
        <v>17</v>
      </c>
      <c r="I2410" t="s">
        <v>18</v>
      </c>
      <c r="J2410" t="str">
        <f>"5147125546"</f>
        <v>5147125546</v>
      </c>
      <c r="K2410" t="s">
        <v>8772</v>
      </c>
      <c r="L2410" t="s">
        <v>86</v>
      </c>
      <c r="M2410" t="s">
        <v>21</v>
      </c>
    </row>
    <row r="2411" spans="1:13" x14ac:dyDescent="0.35">
      <c r="A2411" t="str">
        <f>"242-9809"</f>
        <v>242-9809</v>
      </c>
      <c r="B2411" t="s">
        <v>8773</v>
      </c>
      <c r="C2411" t="str">
        <f>"6"</f>
        <v>6</v>
      </c>
      <c r="E2411" t="s">
        <v>1701</v>
      </c>
      <c r="F2411" t="s">
        <v>8774</v>
      </c>
      <c r="G2411" t="s">
        <v>8775</v>
      </c>
      <c r="H2411" t="s">
        <v>17</v>
      </c>
      <c r="I2411" t="s">
        <v>18</v>
      </c>
      <c r="J2411" t="str">
        <f>"4384667746"</f>
        <v>4384667746</v>
      </c>
      <c r="K2411" t="s">
        <v>8776</v>
      </c>
      <c r="L2411" t="s">
        <v>137</v>
      </c>
      <c r="M2411" t="s">
        <v>21</v>
      </c>
    </row>
    <row r="2412" spans="1:13" x14ac:dyDescent="0.35">
      <c r="A2412" t="str">
        <f>"247-0397"</f>
        <v>247-0397</v>
      </c>
      <c r="B2412" t="s">
        <v>8777</v>
      </c>
      <c r="C2412" t="str">
        <f>"1696"</f>
        <v>1696</v>
      </c>
      <c r="E2412" t="s">
        <v>8778</v>
      </c>
      <c r="F2412" t="s">
        <v>24</v>
      </c>
      <c r="G2412" t="s">
        <v>8779</v>
      </c>
      <c r="H2412" t="s">
        <v>17</v>
      </c>
      <c r="I2412" t="s">
        <v>18</v>
      </c>
      <c r="J2412" t="str">
        <f>"5145821244"</f>
        <v>5145821244</v>
      </c>
      <c r="K2412" t="s">
        <v>8780</v>
      </c>
      <c r="L2412" t="s">
        <v>220</v>
      </c>
      <c r="M2412" t="s">
        <v>21</v>
      </c>
    </row>
    <row r="2413" spans="1:13" x14ac:dyDescent="0.35">
      <c r="A2413" t="str">
        <f>"247-0435"</f>
        <v>247-0435</v>
      </c>
      <c r="B2413" t="s">
        <v>8781</v>
      </c>
      <c r="C2413" t="str">
        <f>"803"</f>
        <v>803</v>
      </c>
      <c r="E2413" t="s">
        <v>8782</v>
      </c>
      <c r="F2413" t="s">
        <v>1296</v>
      </c>
      <c r="G2413" t="s">
        <v>8783</v>
      </c>
      <c r="H2413" t="s">
        <v>17</v>
      </c>
      <c r="I2413" t="s">
        <v>18</v>
      </c>
      <c r="J2413" t="str">
        <f>"4388252392"</f>
        <v>4388252392</v>
      </c>
      <c r="K2413" t="s">
        <v>8784</v>
      </c>
      <c r="L2413" t="s">
        <v>313</v>
      </c>
      <c r="M2413" t="s">
        <v>21</v>
      </c>
    </row>
    <row r="2414" spans="1:13" x14ac:dyDescent="0.35">
      <c r="A2414" t="str">
        <f>"247-6433"</f>
        <v>247-6433</v>
      </c>
      <c r="B2414" t="s">
        <v>8785</v>
      </c>
      <c r="C2414" t="str">
        <f>"194"</f>
        <v>194</v>
      </c>
      <c r="D2414" t="str">
        <f>"104"</f>
        <v>104</v>
      </c>
      <c r="E2414" t="s">
        <v>8786</v>
      </c>
      <c r="F2414" t="s">
        <v>46</v>
      </c>
      <c r="G2414" t="s">
        <v>8787</v>
      </c>
      <c r="H2414" t="s">
        <v>17</v>
      </c>
      <c r="I2414" t="s">
        <v>18</v>
      </c>
      <c r="J2414" t="str">
        <f>"4386307255"</f>
        <v>4386307255</v>
      </c>
      <c r="K2414" t="s">
        <v>8788</v>
      </c>
      <c r="L2414" t="s">
        <v>220</v>
      </c>
      <c r="M2414" t="s">
        <v>21</v>
      </c>
    </row>
    <row r="2415" spans="1:13" x14ac:dyDescent="0.35">
      <c r="A2415" t="str">
        <f>"247-6751"</f>
        <v>247-6751</v>
      </c>
      <c r="B2415" t="s">
        <v>8789</v>
      </c>
      <c r="C2415" t="str">
        <f>"6002"</f>
        <v>6002</v>
      </c>
      <c r="E2415" t="s">
        <v>1059</v>
      </c>
      <c r="F2415" t="s">
        <v>24</v>
      </c>
      <c r="G2415" t="s">
        <v>8790</v>
      </c>
      <c r="H2415" t="s">
        <v>17</v>
      </c>
      <c r="I2415" t="s">
        <v>18</v>
      </c>
      <c r="J2415" t="str">
        <f>"5142082732"</f>
        <v>5142082732</v>
      </c>
      <c r="K2415" t="s">
        <v>8791</v>
      </c>
      <c r="L2415" t="s">
        <v>76</v>
      </c>
      <c r="M2415" t="s">
        <v>21</v>
      </c>
    </row>
    <row r="2416" spans="1:13" x14ac:dyDescent="0.35">
      <c r="A2416" t="str">
        <f>"247-7254"</f>
        <v>247-7254</v>
      </c>
      <c r="B2416" t="s">
        <v>8792</v>
      </c>
      <c r="C2416" t="str">
        <f>"8404"</f>
        <v>8404</v>
      </c>
      <c r="E2416" t="s">
        <v>4911</v>
      </c>
      <c r="F2416" t="s">
        <v>24</v>
      </c>
      <c r="G2416" t="s">
        <v>8793</v>
      </c>
      <c r="H2416" t="s">
        <v>17</v>
      </c>
      <c r="I2416" t="s">
        <v>18</v>
      </c>
      <c r="J2416" t="str">
        <f>"4388367303"</f>
        <v>4388367303</v>
      </c>
      <c r="K2416" t="s">
        <v>8794</v>
      </c>
      <c r="L2416" t="s">
        <v>137</v>
      </c>
      <c r="M2416" t="s">
        <v>21</v>
      </c>
    </row>
    <row r="2417" spans="1:13" x14ac:dyDescent="0.35">
      <c r="A2417" t="str">
        <f>"247-7636"</f>
        <v>247-7636</v>
      </c>
      <c r="B2417" t="s">
        <v>8795</v>
      </c>
      <c r="C2417" t="str">
        <f>"5825"</f>
        <v>5825</v>
      </c>
      <c r="D2417" t="str">
        <f>"5825"</f>
        <v>5825</v>
      </c>
      <c r="E2417" t="s">
        <v>8796</v>
      </c>
      <c r="F2417" t="s">
        <v>656</v>
      </c>
      <c r="G2417" t="s">
        <v>8797</v>
      </c>
      <c r="H2417" t="s">
        <v>17</v>
      </c>
      <c r="I2417" t="s">
        <v>18</v>
      </c>
      <c r="J2417" t="str">
        <f>"5148949654"</f>
        <v>5148949654</v>
      </c>
      <c r="K2417" t="s">
        <v>8798</v>
      </c>
      <c r="L2417" t="s">
        <v>86</v>
      </c>
      <c r="M2417" t="s">
        <v>21</v>
      </c>
    </row>
    <row r="2418" spans="1:13" x14ac:dyDescent="0.35">
      <c r="A2418" t="str">
        <f>"619-6584"</f>
        <v>619-6584</v>
      </c>
      <c r="B2418" t="s">
        <v>8799</v>
      </c>
      <c r="C2418" t="str">
        <f>"1625"</f>
        <v>1625</v>
      </c>
      <c r="E2418" t="s">
        <v>8800</v>
      </c>
      <c r="F2418" t="s">
        <v>143</v>
      </c>
      <c r="G2418" t="s">
        <v>8801</v>
      </c>
      <c r="H2418" t="s">
        <v>17</v>
      </c>
      <c r="I2418" t="s">
        <v>18</v>
      </c>
      <c r="J2418" t="str">
        <f>"5142362638"</f>
        <v>5142362638</v>
      </c>
      <c r="K2418" t="s">
        <v>8802</v>
      </c>
      <c r="L2418" t="s">
        <v>86</v>
      </c>
      <c r="M2418" t="s">
        <v>21</v>
      </c>
    </row>
    <row r="2419" spans="1:13" x14ac:dyDescent="0.35">
      <c r="A2419" t="str">
        <f>"620-6041"</f>
        <v>620-6041</v>
      </c>
      <c r="B2419" t="s">
        <v>8803</v>
      </c>
      <c r="C2419" t="str">
        <f>"6625"</f>
        <v>6625</v>
      </c>
      <c r="E2419" t="s">
        <v>694</v>
      </c>
      <c r="F2419" t="s">
        <v>24</v>
      </c>
      <c r="G2419" t="s">
        <v>8804</v>
      </c>
      <c r="H2419" t="s">
        <v>17</v>
      </c>
      <c r="I2419" t="s">
        <v>18</v>
      </c>
      <c r="J2419" t="str">
        <f>"4382255257"</f>
        <v>4382255257</v>
      </c>
      <c r="K2419" t="s">
        <v>8805</v>
      </c>
      <c r="L2419" t="s">
        <v>86</v>
      </c>
      <c r="M2419" t="s">
        <v>21</v>
      </c>
    </row>
    <row r="2420" spans="1:13" x14ac:dyDescent="0.35">
      <c r="A2420" t="str">
        <f>"620-6690"</f>
        <v>620-6690</v>
      </c>
      <c r="B2420" t="s">
        <v>8806</v>
      </c>
      <c r="C2420" t="str">
        <f>"2111"</f>
        <v>2111</v>
      </c>
      <c r="D2420" t="str">
        <f>"209"</f>
        <v>209</v>
      </c>
      <c r="E2420" t="s">
        <v>4577</v>
      </c>
      <c r="F2420" t="s">
        <v>24</v>
      </c>
      <c r="G2420" t="s">
        <v>8807</v>
      </c>
      <c r="H2420" t="s">
        <v>17</v>
      </c>
      <c r="I2420" t="s">
        <v>18</v>
      </c>
      <c r="J2420" t="str">
        <f>"4389923074"</f>
        <v>4389923074</v>
      </c>
      <c r="K2420" t="s">
        <v>8808</v>
      </c>
      <c r="L2420" t="s">
        <v>86</v>
      </c>
      <c r="M2420" t="s">
        <v>21</v>
      </c>
    </row>
    <row r="2421" spans="1:13" x14ac:dyDescent="0.35">
      <c r="A2421" t="str">
        <f>"627-1760"</f>
        <v>627-1760</v>
      </c>
      <c r="B2421" t="s">
        <v>8809</v>
      </c>
      <c r="C2421" t="str">
        <f>"7352"</f>
        <v>7352</v>
      </c>
      <c r="E2421" t="s">
        <v>2129</v>
      </c>
      <c r="F2421" t="s">
        <v>24</v>
      </c>
      <c r="G2421" t="s">
        <v>8810</v>
      </c>
      <c r="H2421" t="s">
        <v>17</v>
      </c>
      <c r="I2421" t="s">
        <v>18</v>
      </c>
      <c r="J2421" t="str">
        <f>"5146554569"</f>
        <v>5146554569</v>
      </c>
      <c r="K2421" t="s">
        <v>8811</v>
      </c>
      <c r="L2421" t="s">
        <v>86</v>
      </c>
      <c r="M2421" t="s">
        <v>21</v>
      </c>
    </row>
    <row r="2422" spans="1:13" x14ac:dyDescent="0.35">
      <c r="A2422" t="str">
        <f>"630-5814"</f>
        <v>630-5814</v>
      </c>
      <c r="B2422" t="s">
        <v>8812</v>
      </c>
      <c r="C2422" t="str">
        <f>"1500"</f>
        <v>1500</v>
      </c>
      <c r="E2422" t="s">
        <v>8813</v>
      </c>
      <c r="F2422" t="s">
        <v>54</v>
      </c>
      <c r="G2422" t="s">
        <v>8814</v>
      </c>
      <c r="H2422" t="s">
        <v>17</v>
      </c>
      <c r="I2422" t="s">
        <v>18</v>
      </c>
      <c r="J2422" t="str">
        <f>"5148627767"</f>
        <v>5148627767</v>
      </c>
      <c r="K2422" t="s">
        <v>8815</v>
      </c>
      <c r="L2422" t="s">
        <v>396</v>
      </c>
      <c r="M2422" t="s">
        <v>21</v>
      </c>
    </row>
    <row r="2423" spans="1:13" x14ac:dyDescent="0.35">
      <c r="A2423" t="str">
        <f>"630-6244"</f>
        <v>630-6244</v>
      </c>
      <c r="B2423" t="s">
        <v>8816</v>
      </c>
      <c r="C2423" t="str">
        <f>"12530"</f>
        <v>12530</v>
      </c>
      <c r="E2423" t="s">
        <v>519</v>
      </c>
      <c r="F2423" t="s">
        <v>24</v>
      </c>
      <c r="G2423" t="s">
        <v>8817</v>
      </c>
      <c r="H2423" t="s">
        <v>17</v>
      </c>
      <c r="I2423" t="s">
        <v>18</v>
      </c>
      <c r="J2423" t="str">
        <f>"5146637804"</f>
        <v>5146637804</v>
      </c>
      <c r="K2423" t="s">
        <v>8818</v>
      </c>
      <c r="L2423" t="s">
        <v>220</v>
      </c>
      <c r="M2423" t="s">
        <v>21</v>
      </c>
    </row>
    <row r="2424" spans="1:13" x14ac:dyDescent="0.35">
      <c r="A2424" t="str">
        <f>"630-6509"</f>
        <v>630-6509</v>
      </c>
      <c r="B2424" t="s">
        <v>8819</v>
      </c>
      <c r="C2424" t="str">
        <f>"3404"</f>
        <v>3404</v>
      </c>
      <c r="E2424" t="s">
        <v>8820</v>
      </c>
      <c r="F2424" t="s">
        <v>24</v>
      </c>
      <c r="G2424" t="s">
        <v>8821</v>
      </c>
      <c r="H2424" t="s">
        <v>17</v>
      </c>
      <c r="I2424" t="s">
        <v>18</v>
      </c>
      <c r="J2424" t="str">
        <f>"5144022384"</f>
        <v>5144022384</v>
      </c>
      <c r="K2424" t="s">
        <v>8822</v>
      </c>
      <c r="L2424" t="s">
        <v>396</v>
      </c>
      <c r="M2424" t="s">
        <v>21</v>
      </c>
    </row>
    <row r="2425" spans="1:13" x14ac:dyDescent="0.35">
      <c r="A2425" t="str">
        <f>"631-1137"</f>
        <v>631-1137</v>
      </c>
      <c r="B2425" t="s">
        <v>8823</v>
      </c>
      <c r="C2425" t="str">
        <f>"181"</f>
        <v>181</v>
      </c>
      <c r="D2425" t="str">
        <f>"104"</f>
        <v>104</v>
      </c>
      <c r="E2425" t="s">
        <v>8824</v>
      </c>
      <c r="F2425" t="s">
        <v>24</v>
      </c>
      <c r="G2425" t="s">
        <v>8825</v>
      </c>
      <c r="H2425" t="s">
        <v>17</v>
      </c>
      <c r="I2425" t="s">
        <v>18</v>
      </c>
      <c r="J2425" t="str">
        <f>"4383662727"</f>
        <v>4383662727</v>
      </c>
      <c r="K2425" t="s">
        <v>8826</v>
      </c>
      <c r="L2425" t="s">
        <v>396</v>
      </c>
      <c r="M2425" t="s">
        <v>21</v>
      </c>
    </row>
    <row r="2426" spans="1:13" x14ac:dyDescent="0.35">
      <c r="A2426" t="str">
        <f>"631-1148"</f>
        <v>631-1148</v>
      </c>
      <c r="B2426" t="s">
        <v>8827</v>
      </c>
      <c r="C2426" t="str">
        <f>"2610"</f>
        <v>2610</v>
      </c>
      <c r="E2426" t="s">
        <v>8828</v>
      </c>
      <c r="F2426" t="s">
        <v>24</v>
      </c>
      <c r="G2426" t="s">
        <v>8829</v>
      </c>
      <c r="H2426" t="s">
        <v>17</v>
      </c>
      <c r="I2426" t="s">
        <v>18</v>
      </c>
      <c r="J2426" t="str">
        <f>"5145539688"</f>
        <v>5145539688</v>
      </c>
      <c r="K2426" t="s">
        <v>8830</v>
      </c>
      <c r="L2426" t="s">
        <v>396</v>
      </c>
      <c r="M2426" t="s">
        <v>21</v>
      </c>
    </row>
    <row r="2427" spans="1:13" x14ac:dyDescent="0.35">
      <c r="A2427" t="str">
        <f>"631-1319"</f>
        <v>631-1319</v>
      </c>
      <c r="B2427" t="s">
        <v>8831</v>
      </c>
      <c r="C2427" t="str">
        <f>"70"</f>
        <v>70</v>
      </c>
      <c r="D2427" t="str">
        <f>"212"</f>
        <v>212</v>
      </c>
      <c r="E2427" t="s">
        <v>6052</v>
      </c>
      <c r="F2427" t="s">
        <v>24</v>
      </c>
      <c r="G2427" t="s">
        <v>8832</v>
      </c>
      <c r="H2427" t="s">
        <v>17</v>
      </c>
      <c r="I2427" t="s">
        <v>18</v>
      </c>
      <c r="J2427" t="str">
        <f>"4385259719"</f>
        <v>4385259719</v>
      </c>
      <c r="K2427" t="s">
        <v>8833</v>
      </c>
      <c r="L2427" t="s">
        <v>220</v>
      </c>
      <c r="M2427" t="s">
        <v>21</v>
      </c>
    </row>
    <row r="2428" spans="1:13" x14ac:dyDescent="0.35">
      <c r="A2428" t="str">
        <f>"631-1519"</f>
        <v>631-1519</v>
      </c>
      <c r="B2428" t="s">
        <v>8834</v>
      </c>
      <c r="C2428" t="str">
        <f>"481"</f>
        <v>481</v>
      </c>
      <c r="E2428" t="s">
        <v>8835</v>
      </c>
      <c r="F2428" t="s">
        <v>54</v>
      </c>
      <c r="G2428" t="s">
        <v>8836</v>
      </c>
      <c r="H2428" t="s">
        <v>17</v>
      </c>
      <c r="I2428" t="s">
        <v>18</v>
      </c>
      <c r="J2428" t="str">
        <f>"4389224555"</f>
        <v>4389224555</v>
      </c>
      <c r="K2428" t="s">
        <v>8837</v>
      </c>
      <c r="L2428" t="s">
        <v>396</v>
      </c>
      <c r="M2428" t="s">
        <v>21</v>
      </c>
    </row>
    <row r="2429" spans="1:13" x14ac:dyDescent="0.35">
      <c r="A2429" t="str">
        <f>"633-0263"</f>
        <v>633-0263</v>
      </c>
      <c r="B2429" t="s">
        <v>8838</v>
      </c>
      <c r="C2429" t="str">
        <f>"3404"</f>
        <v>3404</v>
      </c>
      <c r="E2429" t="s">
        <v>8820</v>
      </c>
      <c r="F2429" t="s">
        <v>24</v>
      </c>
      <c r="G2429" t="s">
        <v>8821</v>
      </c>
      <c r="H2429" t="s">
        <v>17</v>
      </c>
      <c r="I2429" t="s">
        <v>18</v>
      </c>
      <c r="J2429" t="str">
        <f>"5143474122"</f>
        <v>5143474122</v>
      </c>
      <c r="K2429" t="s">
        <v>8839</v>
      </c>
      <c r="L2429" t="s">
        <v>137</v>
      </c>
      <c r="M2429" t="s">
        <v>21</v>
      </c>
    </row>
    <row r="2430" spans="1:13" x14ac:dyDescent="0.35">
      <c r="A2430" t="str">
        <f>"633-0338"</f>
        <v>633-0338</v>
      </c>
      <c r="B2430" t="s">
        <v>8840</v>
      </c>
      <c r="C2430" t="str">
        <f>"835"</f>
        <v>835</v>
      </c>
      <c r="D2430" t="str">
        <f>"3"</f>
        <v>3</v>
      </c>
      <c r="E2430" t="s">
        <v>8841</v>
      </c>
      <c r="F2430" t="s">
        <v>24</v>
      </c>
      <c r="G2430" t="s">
        <v>1946</v>
      </c>
      <c r="H2430" t="s">
        <v>17</v>
      </c>
      <c r="I2430" t="s">
        <v>18</v>
      </c>
      <c r="J2430" t="str">
        <f>"4385190797"</f>
        <v>4385190797</v>
      </c>
      <c r="K2430" t="s">
        <v>8842</v>
      </c>
      <c r="L2430" t="s">
        <v>168</v>
      </c>
      <c r="M2430" t="s">
        <v>21</v>
      </c>
    </row>
    <row r="2431" spans="1:13" x14ac:dyDescent="0.35">
      <c r="A2431" t="str">
        <f>"633-0675"</f>
        <v>633-0675</v>
      </c>
      <c r="B2431" t="s">
        <v>8843</v>
      </c>
      <c r="C2431" t="str">
        <f>"8510"</f>
        <v>8510</v>
      </c>
      <c r="D2431" t="str">
        <f>"6"</f>
        <v>6</v>
      </c>
      <c r="E2431" t="s">
        <v>2587</v>
      </c>
      <c r="F2431" t="s">
        <v>40</v>
      </c>
      <c r="G2431" t="s">
        <v>2588</v>
      </c>
      <c r="H2431" t="s">
        <v>17</v>
      </c>
      <c r="I2431" t="s">
        <v>18</v>
      </c>
      <c r="J2431" t="str">
        <f>"4389854528"</f>
        <v>4389854528</v>
      </c>
      <c r="K2431" t="s">
        <v>8844</v>
      </c>
      <c r="L2431" t="s">
        <v>86</v>
      </c>
      <c r="M2431" t="s">
        <v>21</v>
      </c>
    </row>
    <row r="2432" spans="1:13" x14ac:dyDescent="0.35">
      <c r="A2432" t="str">
        <f>"633-0935"</f>
        <v>633-0935</v>
      </c>
      <c r="B2432" t="s">
        <v>8845</v>
      </c>
      <c r="C2432" t="str">
        <f>"6252"</f>
        <v>6252</v>
      </c>
      <c r="E2432" t="s">
        <v>3217</v>
      </c>
      <c r="F2432" t="s">
        <v>24</v>
      </c>
      <c r="G2432" t="s">
        <v>8846</v>
      </c>
      <c r="H2432" t="s">
        <v>17</v>
      </c>
      <c r="I2432" t="s">
        <v>18</v>
      </c>
      <c r="J2432" t="str">
        <f>"5148991757"</f>
        <v>5148991757</v>
      </c>
      <c r="K2432" t="s">
        <v>8847</v>
      </c>
      <c r="L2432" t="s">
        <v>86</v>
      </c>
      <c r="M2432" t="s">
        <v>21</v>
      </c>
    </row>
    <row r="2433" spans="1:13" x14ac:dyDescent="0.35">
      <c r="A2433" t="str">
        <f>"174-4648"</f>
        <v>174-4648</v>
      </c>
      <c r="B2433" t="s">
        <v>8848</v>
      </c>
      <c r="C2433" t="str">
        <f>"8193"</f>
        <v>8193</v>
      </c>
      <c r="E2433" t="s">
        <v>8849</v>
      </c>
      <c r="F2433" t="s">
        <v>24</v>
      </c>
      <c r="G2433" t="s">
        <v>8850</v>
      </c>
      <c r="H2433" t="s">
        <v>17</v>
      </c>
      <c r="I2433" t="s">
        <v>18</v>
      </c>
      <c r="J2433" t="str">
        <f>"4388822299"</f>
        <v>4388822299</v>
      </c>
      <c r="K2433" t="s">
        <v>8851</v>
      </c>
      <c r="L2433" t="s">
        <v>27</v>
      </c>
      <c r="M2433" t="s">
        <v>21</v>
      </c>
    </row>
    <row r="2434" spans="1:13" x14ac:dyDescent="0.35">
      <c r="A2434" t="str">
        <f>"174-5073"</f>
        <v>174-5073</v>
      </c>
      <c r="B2434" t="s">
        <v>8852</v>
      </c>
      <c r="C2434" t="str">
        <f>"210"</f>
        <v>210</v>
      </c>
      <c r="E2434" t="s">
        <v>8853</v>
      </c>
      <c r="F2434" t="s">
        <v>54</v>
      </c>
      <c r="G2434" t="s">
        <v>8854</v>
      </c>
      <c r="H2434" t="s">
        <v>17</v>
      </c>
      <c r="I2434" t="s">
        <v>18</v>
      </c>
      <c r="J2434" t="str">
        <f>"5149123971"</f>
        <v>5149123971</v>
      </c>
      <c r="K2434" t="s">
        <v>8855</v>
      </c>
      <c r="L2434" t="s">
        <v>39</v>
      </c>
      <c r="M2434" t="s">
        <v>21</v>
      </c>
    </row>
    <row r="2435" spans="1:13" x14ac:dyDescent="0.35">
      <c r="A2435" t="str">
        <f>"623-0953"</f>
        <v>623-0953</v>
      </c>
      <c r="B2435" t="s">
        <v>8856</v>
      </c>
      <c r="C2435" t="str">
        <f>"2615"</f>
        <v>2615</v>
      </c>
      <c r="D2435" t="str">
        <f>"05"</f>
        <v>05</v>
      </c>
      <c r="E2435" t="s">
        <v>8857</v>
      </c>
      <c r="F2435" t="s">
        <v>24</v>
      </c>
      <c r="G2435" t="s">
        <v>8858</v>
      </c>
      <c r="H2435" t="s">
        <v>17</v>
      </c>
      <c r="I2435" t="s">
        <v>18</v>
      </c>
      <c r="J2435" t="str">
        <f>"4383790803"</f>
        <v>4383790803</v>
      </c>
      <c r="K2435" t="s">
        <v>8859</v>
      </c>
      <c r="L2435" t="s">
        <v>86</v>
      </c>
      <c r="M2435" t="s">
        <v>21</v>
      </c>
    </row>
    <row r="2436" spans="1:13" x14ac:dyDescent="0.35">
      <c r="A2436" t="str">
        <f>"623-2515"</f>
        <v>623-2515</v>
      </c>
      <c r="B2436" t="s">
        <v>8860</v>
      </c>
      <c r="C2436" t="str">
        <f>"6162"</f>
        <v>6162</v>
      </c>
      <c r="E2436" t="s">
        <v>2114</v>
      </c>
      <c r="F2436" t="s">
        <v>54</v>
      </c>
      <c r="G2436" t="s">
        <v>8861</v>
      </c>
      <c r="H2436" t="s">
        <v>17</v>
      </c>
      <c r="I2436" t="s">
        <v>18</v>
      </c>
      <c r="J2436" t="str">
        <f>"5142241997"</f>
        <v>5142241997</v>
      </c>
      <c r="K2436" t="s">
        <v>8862</v>
      </c>
      <c r="L2436" t="s">
        <v>86</v>
      </c>
      <c r="M2436" t="s">
        <v>21</v>
      </c>
    </row>
    <row r="2437" spans="1:13" x14ac:dyDescent="0.35">
      <c r="A2437" t="str">
        <f>"623-5442"</f>
        <v>623-5442</v>
      </c>
      <c r="B2437" t="s">
        <v>8863</v>
      </c>
      <c r="C2437" t="str">
        <f>"2675"</f>
        <v>2675</v>
      </c>
      <c r="D2437" t="str">
        <f>"3"</f>
        <v>3</v>
      </c>
      <c r="E2437" t="s">
        <v>67</v>
      </c>
      <c r="F2437" t="s">
        <v>24</v>
      </c>
      <c r="G2437" t="s">
        <v>8864</v>
      </c>
      <c r="H2437" t="s">
        <v>17</v>
      </c>
      <c r="I2437" t="s">
        <v>18</v>
      </c>
      <c r="J2437" t="str">
        <f>"5149492091"</f>
        <v>5149492091</v>
      </c>
      <c r="K2437" t="s">
        <v>8865</v>
      </c>
      <c r="L2437" t="s">
        <v>396</v>
      </c>
      <c r="M2437" t="s">
        <v>21</v>
      </c>
    </row>
    <row r="2438" spans="1:13" x14ac:dyDescent="0.35">
      <c r="A2438" t="str">
        <f>"624-7921"</f>
        <v>624-7921</v>
      </c>
      <c r="B2438" t="s">
        <v>8866</v>
      </c>
      <c r="C2438" t="str">
        <f>"268"</f>
        <v>268</v>
      </c>
      <c r="E2438" t="s">
        <v>6049</v>
      </c>
      <c r="F2438" t="s">
        <v>54</v>
      </c>
      <c r="G2438" t="s">
        <v>8867</v>
      </c>
      <c r="H2438" t="s">
        <v>17</v>
      </c>
      <c r="I2438" t="s">
        <v>18</v>
      </c>
      <c r="J2438" t="str">
        <f>"4388234040"</f>
        <v>4388234040</v>
      </c>
      <c r="K2438" t="s">
        <v>8868</v>
      </c>
      <c r="L2438" t="s">
        <v>220</v>
      </c>
      <c r="M2438" t="s">
        <v>21</v>
      </c>
    </row>
    <row r="2439" spans="1:13" x14ac:dyDescent="0.35">
      <c r="A2439" t="str">
        <f>"624-9733"</f>
        <v>624-9733</v>
      </c>
      <c r="B2439" t="s">
        <v>8869</v>
      </c>
      <c r="C2439" t="str">
        <f>"7462"</f>
        <v>7462</v>
      </c>
      <c r="E2439" t="s">
        <v>642</v>
      </c>
      <c r="F2439" t="s">
        <v>24</v>
      </c>
      <c r="G2439" t="s">
        <v>8870</v>
      </c>
      <c r="H2439" t="s">
        <v>17</v>
      </c>
      <c r="I2439" t="s">
        <v>18</v>
      </c>
      <c r="J2439" t="str">
        <f>"4385056090"</f>
        <v>4385056090</v>
      </c>
      <c r="K2439" t="s">
        <v>8871</v>
      </c>
      <c r="L2439" t="s">
        <v>86</v>
      </c>
      <c r="M2439" t="s">
        <v>21</v>
      </c>
    </row>
    <row r="2440" spans="1:13" x14ac:dyDescent="0.35">
      <c r="A2440" t="str">
        <f>"628-9566"</f>
        <v>628-9566</v>
      </c>
      <c r="B2440" t="s">
        <v>8872</v>
      </c>
      <c r="C2440" t="str">
        <f>"1828"</f>
        <v>1828</v>
      </c>
      <c r="E2440" t="s">
        <v>213</v>
      </c>
      <c r="F2440" t="s">
        <v>24</v>
      </c>
      <c r="G2440" t="s">
        <v>8873</v>
      </c>
      <c r="H2440" t="s">
        <v>17</v>
      </c>
      <c r="I2440" t="s">
        <v>18</v>
      </c>
      <c r="J2440" t="str">
        <f>"4383733313"</f>
        <v>4383733313</v>
      </c>
      <c r="K2440" t="s">
        <v>8874</v>
      </c>
      <c r="L2440" t="s">
        <v>86</v>
      </c>
      <c r="M2440" t="s">
        <v>21</v>
      </c>
    </row>
    <row r="2441" spans="1:13" x14ac:dyDescent="0.35">
      <c r="A2441" t="str">
        <f>"629-2759"</f>
        <v>629-2759</v>
      </c>
      <c r="B2441" t="s">
        <v>8875</v>
      </c>
      <c r="C2441" t="str">
        <f>"410"</f>
        <v>410</v>
      </c>
      <c r="E2441" t="s">
        <v>2077</v>
      </c>
      <c r="F2441" t="s">
        <v>24</v>
      </c>
      <c r="G2441" t="s">
        <v>8876</v>
      </c>
      <c r="H2441" t="s">
        <v>17</v>
      </c>
      <c r="I2441" t="s">
        <v>18</v>
      </c>
      <c r="J2441" t="str">
        <f>"4387286135"</f>
        <v>4387286135</v>
      </c>
      <c r="K2441" t="s">
        <v>8877</v>
      </c>
      <c r="L2441" t="s">
        <v>168</v>
      </c>
      <c r="M2441" t="s">
        <v>21</v>
      </c>
    </row>
    <row r="2442" spans="1:13" x14ac:dyDescent="0.35">
      <c r="A2442" t="str">
        <f>"629-3731"</f>
        <v>629-3731</v>
      </c>
      <c r="B2442" t="s">
        <v>8878</v>
      </c>
      <c r="C2442" t="str">
        <f>"11551"</f>
        <v>11551</v>
      </c>
      <c r="E2442" t="s">
        <v>1146</v>
      </c>
      <c r="F2442" t="s">
        <v>24</v>
      </c>
      <c r="G2442" t="s">
        <v>8879</v>
      </c>
      <c r="H2442" t="s">
        <v>17</v>
      </c>
      <c r="I2442" t="s">
        <v>18</v>
      </c>
      <c r="J2442" t="str">
        <f>"5144452710"</f>
        <v>5144452710</v>
      </c>
      <c r="K2442" t="s">
        <v>8880</v>
      </c>
      <c r="L2442" t="s">
        <v>86</v>
      </c>
      <c r="M2442" t="s">
        <v>21</v>
      </c>
    </row>
    <row r="2443" spans="1:13" x14ac:dyDescent="0.35">
      <c r="A2443" t="str">
        <f>"629-4375"</f>
        <v>629-4375</v>
      </c>
      <c r="B2443" t="s">
        <v>8881</v>
      </c>
      <c r="C2443" t="str">
        <f>"10187"</f>
        <v>10187</v>
      </c>
      <c r="E2443" t="s">
        <v>8882</v>
      </c>
      <c r="F2443" t="s">
        <v>24</v>
      </c>
      <c r="G2443" t="s">
        <v>8883</v>
      </c>
      <c r="H2443" t="s">
        <v>17</v>
      </c>
      <c r="I2443" t="s">
        <v>18</v>
      </c>
      <c r="J2443" t="str">
        <f>"4389204950"</f>
        <v>4389204950</v>
      </c>
      <c r="K2443" t="s">
        <v>8884</v>
      </c>
      <c r="L2443" t="s">
        <v>137</v>
      </c>
      <c r="M2443" t="s">
        <v>21</v>
      </c>
    </row>
    <row r="2444" spans="1:13" x14ac:dyDescent="0.35">
      <c r="A2444" t="str">
        <f>"631-7921"</f>
        <v>631-7921</v>
      </c>
      <c r="B2444" t="s">
        <v>8885</v>
      </c>
      <c r="C2444" t="str">
        <f>"8531"</f>
        <v>8531</v>
      </c>
      <c r="D2444" t="str">
        <f>"6"</f>
        <v>6</v>
      </c>
      <c r="E2444" t="s">
        <v>8886</v>
      </c>
      <c r="F2444" t="s">
        <v>24</v>
      </c>
      <c r="G2444" t="s">
        <v>4634</v>
      </c>
      <c r="H2444" t="s">
        <v>17</v>
      </c>
      <c r="I2444" t="s">
        <v>18</v>
      </c>
      <c r="J2444" t="str">
        <f>"4386993916"</f>
        <v>4386993916</v>
      </c>
      <c r="K2444" t="s">
        <v>8887</v>
      </c>
      <c r="L2444" t="s">
        <v>86</v>
      </c>
      <c r="M2444" t="s">
        <v>21</v>
      </c>
    </row>
    <row r="2445" spans="1:13" x14ac:dyDescent="0.35">
      <c r="A2445" t="str">
        <f>"631-8272"</f>
        <v>631-8272</v>
      </c>
      <c r="B2445" t="s">
        <v>8888</v>
      </c>
      <c r="C2445" t="str">
        <f>"10350"</f>
        <v>10350</v>
      </c>
      <c r="D2445" t="str">
        <f>"207"</f>
        <v>207</v>
      </c>
      <c r="E2445" t="s">
        <v>1990</v>
      </c>
      <c r="F2445" t="s">
        <v>24</v>
      </c>
      <c r="G2445" t="s">
        <v>8889</v>
      </c>
      <c r="H2445" t="s">
        <v>17</v>
      </c>
      <c r="I2445" t="s">
        <v>18</v>
      </c>
      <c r="J2445" t="str">
        <f>"4382264460"</f>
        <v>4382264460</v>
      </c>
      <c r="K2445" t="s">
        <v>8890</v>
      </c>
      <c r="L2445" t="s">
        <v>869</v>
      </c>
      <c r="M2445" t="s">
        <v>21</v>
      </c>
    </row>
    <row r="2446" spans="1:13" x14ac:dyDescent="0.35">
      <c r="A2446" t="str">
        <f>"631-8321"</f>
        <v>631-8321</v>
      </c>
      <c r="B2446" t="s">
        <v>8891</v>
      </c>
      <c r="C2446" t="str">
        <f>"880"</f>
        <v>880</v>
      </c>
      <c r="E2446" t="s">
        <v>6813</v>
      </c>
      <c r="F2446" t="s">
        <v>24</v>
      </c>
      <c r="G2446" t="s">
        <v>8892</v>
      </c>
      <c r="H2446" t="s">
        <v>17</v>
      </c>
      <c r="I2446" t="s">
        <v>18</v>
      </c>
      <c r="J2446" t="str">
        <f>"5146918959"</f>
        <v>5146918959</v>
      </c>
      <c r="K2446" t="s">
        <v>8893</v>
      </c>
      <c r="L2446" t="s">
        <v>220</v>
      </c>
      <c r="M2446" t="s">
        <v>21</v>
      </c>
    </row>
    <row r="2447" spans="1:13" x14ac:dyDescent="0.35">
      <c r="A2447" t="str">
        <f>"631-8486"</f>
        <v>631-8486</v>
      </c>
      <c r="B2447" t="s">
        <v>8894</v>
      </c>
      <c r="C2447" t="str">
        <f>"5862"</f>
        <v>5862</v>
      </c>
      <c r="E2447" t="s">
        <v>8895</v>
      </c>
      <c r="F2447" t="s">
        <v>24</v>
      </c>
      <c r="G2447" t="s">
        <v>8896</v>
      </c>
      <c r="H2447" t="s">
        <v>17</v>
      </c>
      <c r="I2447" t="s">
        <v>18</v>
      </c>
      <c r="J2447" t="str">
        <f>"5147432221"</f>
        <v>5147432221</v>
      </c>
      <c r="K2447" t="s">
        <v>8897</v>
      </c>
      <c r="L2447" t="s">
        <v>86</v>
      </c>
      <c r="M2447" t="s">
        <v>21</v>
      </c>
    </row>
    <row r="2448" spans="1:13" x14ac:dyDescent="0.35">
      <c r="A2448" t="str">
        <f>"631-8604"</f>
        <v>631-8604</v>
      </c>
      <c r="B2448" t="s">
        <v>8898</v>
      </c>
      <c r="C2448" t="str">
        <f>"2211"</f>
        <v>2211</v>
      </c>
      <c r="D2448" t="str">
        <f>"12"</f>
        <v>12</v>
      </c>
      <c r="E2448" t="s">
        <v>8899</v>
      </c>
      <c r="F2448" t="s">
        <v>24</v>
      </c>
      <c r="G2448" t="s">
        <v>8900</v>
      </c>
      <c r="H2448" t="s">
        <v>17</v>
      </c>
      <c r="I2448" t="s">
        <v>18</v>
      </c>
      <c r="J2448" t="str">
        <f>"4387795838"</f>
        <v>4387795838</v>
      </c>
      <c r="K2448" t="s">
        <v>8901</v>
      </c>
      <c r="L2448" t="s">
        <v>88</v>
      </c>
      <c r="M2448" t="s">
        <v>21</v>
      </c>
    </row>
    <row r="2449" spans="1:13" x14ac:dyDescent="0.35">
      <c r="A2449" t="str">
        <f>"632-1264"</f>
        <v>632-1264</v>
      </c>
      <c r="B2449" t="s">
        <v>8902</v>
      </c>
      <c r="C2449" t="str">
        <f>"7769"</f>
        <v>7769</v>
      </c>
      <c r="E2449" t="s">
        <v>8903</v>
      </c>
      <c r="F2449" t="s">
        <v>24</v>
      </c>
      <c r="G2449" t="s">
        <v>8904</v>
      </c>
      <c r="H2449" t="s">
        <v>17</v>
      </c>
      <c r="I2449" t="s">
        <v>18</v>
      </c>
      <c r="J2449" t="str">
        <f>"4389321977"</f>
        <v>4389321977</v>
      </c>
      <c r="K2449" t="s">
        <v>8905</v>
      </c>
      <c r="L2449" t="s">
        <v>86</v>
      </c>
      <c r="M2449" t="s">
        <v>21</v>
      </c>
    </row>
    <row r="2450" spans="1:13" x14ac:dyDescent="0.35">
      <c r="A2450" t="str">
        <f>"632-1732"</f>
        <v>632-1732</v>
      </c>
      <c r="B2450" t="s">
        <v>8906</v>
      </c>
      <c r="C2450" t="str">
        <f>"2626"</f>
        <v>2626</v>
      </c>
      <c r="E2450" t="s">
        <v>8907</v>
      </c>
      <c r="F2450" t="s">
        <v>24</v>
      </c>
      <c r="G2450" t="s">
        <v>8908</v>
      </c>
      <c r="H2450" t="s">
        <v>17</v>
      </c>
      <c r="I2450" t="s">
        <v>18</v>
      </c>
      <c r="J2450" t="str">
        <f>"4388389392"</f>
        <v>4388389392</v>
      </c>
      <c r="K2450" t="s">
        <v>8909</v>
      </c>
      <c r="L2450" t="s">
        <v>466</v>
      </c>
      <c r="M2450" t="s">
        <v>21</v>
      </c>
    </row>
    <row r="2451" spans="1:13" x14ac:dyDescent="0.35">
      <c r="A2451" t="str">
        <f>"632-1851"</f>
        <v>632-1851</v>
      </c>
      <c r="B2451" t="s">
        <v>8910</v>
      </c>
      <c r="C2451" t="str">
        <f>"615"</f>
        <v>615</v>
      </c>
      <c r="D2451" t="str">
        <f>"204"</f>
        <v>204</v>
      </c>
      <c r="E2451" t="s">
        <v>8911</v>
      </c>
      <c r="F2451" t="s">
        <v>54</v>
      </c>
      <c r="G2451" t="s">
        <v>8912</v>
      </c>
      <c r="H2451" t="s">
        <v>17</v>
      </c>
      <c r="I2451" t="s">
        <v>18</v>
      </c>
      <c r="J2451" t="str">
        <f>"5149148989"</f>
        <v>5149148989</v>
      </c>
      <c r="K2451" t="s">
        <v>8913</v>
      </c>
      <c r="L2451" t="s">
        <v>88</v>
      </c>
      <c r="M2451" t="s">
        <v>21</v>
      </c>
    </row>
    <row r="2452" spans="1:13" x14ac:dyDescent="0.35">
      <c r="A2452" t="str">
        <f>"634-3294"</f>
        <v>634-3294</v>
      </c>
      <c r="B2452" t="s">
        <v>8914</v>
      </c>
      <c r="C2452" t="str">
        <f>"6990"</f>
        <v>6990</v>
      </c>
      <c r="D2452" t="str">
        <f>"3"</f>
        <v>3</v>
      </c>
      <c r="E2452" t="s">
        <v>3523</v>
      </c>
      <c r="F2452" t="s">
        <v>24</v>
      </c>
      <c r="G2452" t="s">
        <v>8915</v>
      </c>
      <c r="H2452" t="s">
        <v>17</v>
      </c>
      <c r="I2452" t="s">
        <v>18</v>
      </c>
      <c r="J2452" t="str">
        <f>"5145922057"</f>
        <v>5145922057</v>
      </c>
      <c r="K2452" t="s">
        <v>8916</v>
      </c>
      <c r="L2452" t="s">
        <v>220</v>
      </c>
      <c r="M2452" t="s">
        <v>21</v>
      </c>
    </row>
    <row r="2453" spans="1:13" x14ac:dyDescent="0.35">
      <c r="A2453" t="str">
        <f>"634-3422"</f>
        <v>634-3422</v>
      </c>
      <c r="B2453" t="s">
        <v>8917</v>
      </c>
      <c r="C2453" t="str">
        <f>"8520"</f>
        <v>8520</v>
      </c>
      <c r="D2453" t="str">
        <f>"2"</f>
        <v>2</v>
      </c>
      <c r="E2453" t="s">
        <v>3884</v>
      </c>
      <c r="F2453" t="s">
        <v>24</v>
      </c>
      <c r="G2453" t="s">
        <v>8918</v>
      </c>
      <c r="H2453" t="s">
        <v>17</v>
      </c>
      <c r="I2453" t="s">
        <v>18</v>
      </c>
      <c r="J2453" t="str">
        <f>"5145591472"</f>
        <v>5145591472</v>
      </c>
      <c r="K2453" t="s">
        <v>8919</v>
      </c>
      <c r="L2453" t="s">
        <v>86</v>
      </c>
      <c r="M2453" t="s">
        <v>21</v>
      </c>
    </row>
    <row r="2454" spans="1:13" x14ac:dyDescent="0.35">
      <c r="A2454" t="str">
        <f>"165-5739"</f>
        <v>165-5739</v>
      </c>
      <c r="B2454" t="s">
        <v>8920</v>
      </c>
      <c r="C2454" t="str">
        <f>"6397"</f>
        <v>6397</v>
      </c>
      <c r="E2454" t="s">
        <v>1352</v>
      </c>
      <c r="F2454" t="s">
        <v>24</v>
      </c>
      <c r="G2454" t="s">
        <v>8921</v>
      </c>
      <c r="H2454" t="s">
        <v>17</v>
      </c>
      <c r="I2454" t="s">
        <v>18</v>
      </c>
      <c r="J2454" t="str">
        <f>"5148344670"</f>
        <v>5148344670</v>
      </c>
      <c r="K2454" t="s">
        <v>8922</v>
      </c>
      <c r="L2454" t="s">
        <v>396</v>
      </c>
      <c r="M2454" t="s">
        <v>21</v>
      </c>
    </row>
    <row r="2455" spans="1:13" x14ac:dyDescent="0.35">
      <c r="A2455" t="str">
        <f>"200-4572"</f>
        <v>200-4572</v>
      </c>
      <c r="B2455" t="s">
        <v>8923</v>
      </c>
      <c r="C2455" t="str">
        <f>"5318"</f>
        <v>5318</v>
      </c>
      <c r="E2455" t="s">
        <v>3722</v>
      </c>
      <c r="F2455" t="s">
        <v>24</v>
      </c>
      <c r="G2455" t="s">
        <v>8924</v>
      </c>
      <c r="H2455" t="s">
        <v>17</v>
      </c>
      <c r="I2455" t="s">
        <v>18</v>
      </c>
      <c r="J2455" t="str">
        <f>"5142477699"</f>
        <v>5142477699</v>
      </c>
      <c r="K2455" t="s">
        <v>8925</v>
      </c>
      <c r="L2455" t="s">
        <v>193</v>
      </c>
      <c r="M2455" t="s">
        <v>21</v>
      </c>
    </row>
    <row r="2456" spans="1:13" x14ac:dyDescent="0.35">
      <c r="A2456" t="str">
        <f>"202-9355"</f>
        <v>202-9355</v>
      </c>
      <c r="B2456" t="s">
        <v>8926</v>
      </c>
      <c r="C2456" t="str">
        <f>"2689"</f>
        <v>2689</v>
      </c>
      <c r="D2456" t="str">
        <f>"2"</f>
        <v>2</v>
      </c>
      <c r="E2456" t="s">
        <v>8927</v>
      </c>
      <c r="F2456" t="s">
        <v>24</v>
      </c>
      <c r="G2456" t="s">
        <v>8928</v>
      </c>
      <c r="H2456" t="s">
        <v>17</v>
      </c>
      <c r="I2456" t="s">
        <v>18</v>
      </c>
      <c r="J2456" t="str">
        <f>"5146610873"</f>
        <v>5146610873</v>
      </c>
      <c r="K2456" t="s">
        <v>8929</v>
      </c>
      <c r="L2456" t="s">
        <v>86</v>
      </c>
      <c r="M2456" t="s">
        <v>21</v>
      </c>
    </row>
    <row r="2457" spans="1:13" x14ac:dyDescent="0.35">
      <c r="A2457" t="str">
        <f>"217-0464"</f>
        <v>217-0464</v>
      </c>
      <c r="B2457" t="s">
        <v>8930</v>
      </c>
      <c r="C2457" t="str">
        <f>"5788"</f>
        <v>5788</v>
      </c>
      <c r="E2457" t="s">
        <v>802</v>
      </c>
      <c r="F2457" t="s">
        <v>24</v>
      </c>
      <c r="G2457" t="s">
        <v>4122</v>
      </c>
      <c r="H2457" t="s">
        <v>17</v>
      </c>
      <c r="I2457" t="s">
        <v>18</v>
      </c>
      <c r="J2457" t="str">
        <f>"4388622590"</f>
        <v>4388622590</v>
      </c>
      <c r="K2457" t="s">
        <v>8931</v>
      </c>
      <c r="L2457" t="s">
        <v>86</v>
      </c>
      <c r="M2457" t="s">
        <v>21</v>
      </c>
    </row>
    <row r="2458" spans="1:13" x14ac:dyDescent="0.35">
      <c r="A2458" t="str">
        <f>"217-3446"</f>
        <v>217-3446</v>
      </c>
      <c r="B2458" t="s">
        <v>8932</v>
      </c>
      <c r="C2458" t="str">
        <f>"5100"</f>
        <v>5100</v>
      </c>
      <c r="E2458" t="s">
        <v>421</v>
      </c>
      <c r="F2458" t="s">
        <v>24</v>
      </c>
      <c r="G2458" t="s">
        <v>8933</v>
      </c>
      <c r="H2458" t="s">
        <v>17</v>
      </c>
      <c r="I2458" t="s">
        <v>18</v>
      </c>
      <c r="J2458" t="str">
        <f>"4383896551"</f>
        <v>4383896551</v>
      </c>
      <c r="K2458" t="s">
        <v>8934</v>
      </c>
      <c r="L2458" t="s">
        <v>86</v>
      </c>
      <c r="M2458" t="s">
        <v>21</v>
      </c>
    </row>
    <row r="2459" spans="1:13" x14ac:dyDescent="0.35">
      <c r="A2459" t="str">
        <f>"223-8506"</f>
        <v>223-8506</v>
      </c>
      <c r="B2459" t="s">
        <v>8935</v>
      </c>
      <c r="C2459" t="str">
        <f>"8910"</f>
        <v>8910</v>
      </c>
      <c r="E2459" t="s">
        <v>485</v>
      </c>
      <c r="F2459" t="s">
        <v>24</v>
      </c>
      <c r="G2459" t="s">
        <v>8936</v>
      </c>
      <c r="H2459" t="s">
        <v>17</v>
      </c>
      <c r="I2459" t="s">
        <v>18</v>
      </c>
      <c r="J2459" t="str">
        <f>"4384990376"</f>
        <v>4384990376</v>
      </c>
      <c r="K2459" t="s">
        <v>8937</v>
      </c>
      <c r="L2459" t="s">
        <v>27</v>
      </c>
      <c r="M2459" t="s">
        <v>21</v>
      </c>
    </row>
    <row r="2460" spans="1:13" x14ac:dyDescent="0.35">
      <c r="A2460" t="str">
        <f>"224-2690"</f>
        <v>224-2690</v>
      </c>
      <c r="B2460" t="s">
        <v>8938</v>
      </c>
      <c r="C2460" t="str">
        <f>"3861"</f>
        <v>3861</v>
      </c>
      <c r="E2460" t="s">
        <v>439</v>
      </c>
      <c r="F2460" t="s">
        <v>24</v>
      </c>
      <c r="G2460" t="s">
        <v>8939</v>
      </c>
      <c r="H2460" t="s">
        <v>17</v>
      </c>
      <c r="I2460" t="s">
        <v>18</v>
      </c>
      <c r="J2460" t="str">
        <f>"4388382098"</f>
        <v>4388382098</v>
      </c>
      <c r="K2460" t="s">
        <v>8940</v>
      </c>
      <c r="L2460" t="s">
        <v>2316</v>
      </c>
      <c r="M2460" t="s">
        <v>21</v>
      </c>
    </row>
    <row r="2461" spans="1:13" x14ac:dyDescent="0.35">
      <c r="A2461" t="str">
        <f>"224-7233"</f>
        <v>224-7233</v>
      </c>
      <c r="B2461" t="s">
        <v>8941</v>
      </c>
      <c r="C2461" t="str">
        <f>"47"</f>
        <v>47</v>
      </c>
      <c r="E2461" t="s">
        <v>8942</v>
      </c>
      <c r="F2461" t="s">
        <v>54</v>
      </c>
      <c r="G2461" t="s">
        <v>8943</v>
      </c>
      <c r="H2461" t="s">
        <v>17</v>
      </c>
      <c r="I2461" t="s">
        <v>18</v>
      </c>
      <c r="J2461" t="str">
        <f>"5146220728"</f>
        <v>5146220728</v>
      </c>
      <c r="K2461" t="s">
        <v>8944</v>
      </c>
      <c r="L2461" t="s">
        <v>39</v>
      </c>
      <c r="M2461" t="s">
        <v>21</v>
      </c>
    </row>
    <row r="2462" spans="1:13" x14ac:dyDescent="0.35">
      <c r="A2462" t="str">
        <f>"244-3055"</f>
        <v>244-3055</v>
      </c>
      <c r="B2462" t="s">
        <v>8945</v>
      </c>
      <c r="C2462" t="str">
        <f>"7370"</f>
        <v>7370</v>
      </c>
      <c r="E2462" t="s">
        <v>5658</v>
      </c>
      <c r="F2462" t="s">
        <v>24</v>
      </c>
      <c r="G2462" t="s">
        <v>8946</v>
      </c>
      <c r="H2462" t="s">
        <v>17</v>
      </c>
      <c r="I2462" t="s">
        <v>18</v>
      </c>
      <c r="J2462" t="str">
        <f>"4384670414"</f>
        <v>4384670414</v>
      </c>
      <c r="K2462" t="s">
        <v>8947</v>
      </c>
      <c r="L2462" t="s">
        <v>86</v>
      </c>
      <c r="M2462" t="s">
        <v>21</v>
      </c>
    </row>
    <row r="2463" spans="1:13" x14ac:dyDescent="0.35">
      <c r="A2463" t="str">
        <f>"247-3807"</f>
        <v>247-3807</v>
      </c>
      <c r="B2463" t="s">
        <v>8948</v>
      </c>
      <c r="C2463" t="str">
        <f>"5844"</f>
        <v>5844</v>
      </c>
      <c r="E2463" t="s">
        <v>8949</v>
      </c>
      <c r="F2463" t="s">
        <v>24</v>
      </c>
      <c r="G2463" t="s">
        <v>8950</v>
      </c>
      <c r="H2463" t="s">
        <v>17</v>
      </c>
      <c r="I2463" t="s">
        <v>18</v>
      </c>
      <c r="J2463" t="str">
        <f>"4385303692"</f>
        <v>4385303692</v>
      </c>
      <c r="K2463" t="s">
        <v>8951</v>
      </c>
      <c r="L2463" t="s">
        <v>86</v>
      </c>
      <c r="M2463" t="s">
        <v>21</v>
      </c>
    </row>
    <row r="2464" spans="1:13" x14ac:dyDescent="0.35">
      <c r="A2464" t="str">
        <f>"247-4712"</f>
        <v>247-4712</v>
      </c>
      <c r="B2464" t="s">
        <v>8952</v>
      </c>
      <c r="C2464" t="str">
        <f>"12051"</f>
        <v>12051</v>
      </c>
      <c r="E2464" t="s">
        <v>186</v>
      </c>
      <c r="F2464" t="s">
        <v>24</v>
      </c>
      <c r="G2464" t="s">
        <v>4685</v>
      </c>
      <c r="H2464" t="s">
        <v>17</v>
      </c>
      <c r="I2464" t="s">
        <v>18</v>
      </c>
      <c r="J2464" t="str">
        <f>"5144488288"</f>
        <v>5144488288</v>
      </c>
      <c r="K2464" t="s">
        <v>8953</v>
      </c>
      <c r="L2464" t="s">
        <v>396</v>
      </c>
      <c r="M2464" t="s">
        <v>21</v>
      </c>
    </row>
    <row r="2465" spans="1:13" x14ac:dyDescent="0.35">
      <c r="A2465" t="str">
        <f>"247-5438"</f>
        <v>247-5438</v>
      </c>
      <c r="B2465" t="s">
        <v>8954</v>
      </c>
      <c r="C2465" t="str">
        <f>"5365"</f>
        <v>5365</v>
      </c>
      <c r="E2465" t="s">
        <v>1569</v>
      </c>
      <c r="F2465" t="s">
        <v>24</v>
      </c>
      <c r="G2465" t="s">
        <v>1570</v>
      </c>
      <c r="H2465" t="s">
        <v>17</v>
      </c>
      <c r="I2465" t="s">
        <v>18</v>
      </c>
      <c r="J2465" t="str">
        <f>"5142378255"</f>
        <v>5142378255</v>
      </c>
      <c r="K2465" t="s">
        <v>8955</v>
      </c>
      <c r="L2465" t="s">
        <v>27</v>
      </c>
      <c r="M2465" t="s">
        <v>21</v>
      </c>
    </row>
    <row r="2466" spans="1:13" x14ac:dyDescent="0.35">
      <c r="A2466" t="str">
        <f>"248-1972"</f>
        <v>248-1972</v>
      </c>
      <c r="B2466" t="s">
        <v>8956</v>
      </c>
      <c r="C2466" t="str">
        <f>"11035"</f>
        <v>11035</v>
      </c>
      <c r="D2466" t="str">
        <f>"4"</f>
        <v>4</v>
      </c>
      <c r="E2466" t="s">
        <v>8957</v>
      </c>
      <c r="F2466" t="s">
        <v>24</v>
      </c>
      <c r="G2466" t="s">
        <v>8958</v>
      </c>
      <c r="H2466" t="s">
        <v>17</v>
      </c>
      <c r="I2466" t="s">
        <v>18</v>
      </c>
      <c r="J2466" t="str">
        <f>"5143878496"</f>
        <v>5143878496</v>
      </c>
      <c r="K2466" t="s">
        <v>8959</v>
      </c>
      <c r="L2466" t="s">
        <v>88</v>
      </c>
      <c r="M2466" t="s">
        <v>21</v>
      </c>
    </row>
    <row r="2467" spans="1:13" x14ac:dyDescent="0.35">
      <c r="A2467" t="str">
        <f>"239-0693"</f>
        <v>239-0693</v>
      </c>
      <c r="B2467" t="s">
        <v>8960</v>
      </c>
      <c r="C2467" t="str">
        <f>"2950"</f>
        <v>2950</v>
      </c>
      <c r="D2467" t="str">
        <f>"5"</f>
        <v>5</v>
      </c>
      <c r="E2467" t="s">
        <v>3591</v>
      </c>
      <c r="F2467" t="s">
        <v>24</v>
      </c>
      <c r="G2467" t="s">
        <v>8961</v>
      </c>
      <c r="H2467" t="s">
        <v>17</v>
      </c>
      <c r="I2467" t="s">
        <v>18</v>
      </c>
      <c r="J2467" t="str">
        <f>"5142997760"</f>
        <v>5142997760</v>
      </c>
      <c r="K2467" t="s">
        <v>8962</v>
      </c>
      <c r="L2467" t="s">
        <v>396</v>
      </c>
      <c r="M2467" t="s">
        <v>21</v>
      </c>
    </row>
    <row r="2468" spans="1:13" x14ac:dyDescent="0.35">
      <c r="A2468" t="str">
        <f>"246-8656"</f>
        <v>246-8656</v>
      </c>
      <c r="B2468" t="s">
        <v>8963</v>
      </c>
      <c r="C2468" t="str">
        <f>"1920"</f>
        <v>1920</v>
      </c>
      <c r="D2468" t="str">
        <f>"6"</f>
        <v>6</v>
      </c>
      <c r="E2468" t="s">
        <v>1235</v>
      </c>
      <c r="F2468" t="s">
        <v>24</v>
      </c>
      <c r="G2468" t="s">
        <v>8964</v>
      </c>
      <c r="H2468" t="s">
        <v>17</v>
      </c>
      <c r="I2468" t="s">
        <v>18</v>
      </c>
      <c r="J2468" t="str">
        <f>"4389210333"</f>
        <v>4389210333</v>
      </c>
      <c r="K2468" t="s">
        <v>8965</v>
      </c>
      <c r="L2468" t="s">
        <v>86</v>
      </c>
      <c r="M2468" t="s">
        <v>21</v>
      </c>
    </row>
    <row r="2469" spans="1:13" x14ac:dyDescent="0.35">
      <c r="A2469" t="str">
        <f>"247-0944"</f>
        <v>247-0944</v>
      </c>
      <c r="B2469" t="s">
        <v>8966</v>
      </c>
      <c r="C2469" t="str">
        <f>"306"</f>
        <v>306</v>
      </c>
      <c r="D2469" t="str">
        <f>"306"</f>
        <v>306</v>
      </c>
      <c r="E2469" t="s">
        <v>8967</v>
      </c>
      <c r="F2469" t="s">
        <v>2212</v>
      </c>
      <c r="G2469" t="s">
        <v>8968</v>
      </c>
      <c r="H2469" t="s">
        <v>17</v>
      </c>
      <c r="I2469" t="s">
        <v>18</v>
      </c>
      <c r="J2469" t="str">
        <f>"4383573919"</f>
        <v>4383573919</v>
      </c>
      <c r="K2469" t="s">
        <v>8969</v>
      </c>
      <c r="L2469" t="s">
        <v>396</v>
      </c>
      <c r="M2469" t="s">
        <v>21</v>
      </c>
    </row>
    <row r="2470" spans="1:13" x14ac:dyDescent="0.35">
      <c r="A2470" t="str">
        <f>"246-6307"</f>
        <v>246-6307</v>
      </c>
      <c r="B2470" t="s">
        <v>8970</v>
      </c>
      <c r="C2470" t="str">
        <f>"10757"</f>
        <v>10757</v>
      </c>
      <c r="E2470" t="s">
        <v>8971</v>
      </c>
      <c r="F2470" t="s">
        <v>24</v>
      </c>
      <c r="G2470" t="s">
        <v>8972</v>
      </c>
      <c r="H2470" t="s">
        <v>17</v>
      </c>
      <c r="I2470" t="s">
        <v>18</v>
      </c>
      <c r="J2470" t="str">
        <f>"5145504229"</f>
        <v>5145504229</v>
      </c>
      <c r="K2470" t="s">
        <v>8973</v>
      </c>
      <c r="L2470" t="s">
        <v>88</v>
      </c>
      <c r="M2470" t="s">
        <v>21</v>
      </c>
    </row>
    <row r="2471" spans="1:13" x14ac:dyDescent="0.35">
      <c r="A2471" t="str">
        <f>"246-6650"</f>
        <v>246-6650</v>
      </c>
      <c r="B2471" t="s">
        <v>8974</v>
      </c>
      <c r="C2471" t="str">
        <f>"5200"</f>
        <v>5200</v>
      </c>
      <c r="D2471" t="str">
        <f>"A206"</f>
        <v>A206</v>
      </c>
      <c r="E2471" t="s">
        <v>6061</v>
      </c>
      <c r="F2471" t="s">
        <v>24</v>
      </c>
      <c r="G2471" t="s">
        <v>8975</v>
      </c>
      <c r="H2471" t="s">
        <v>17</v>
      </c>
      <c r="I2471" t="s">
        <v>18</v>
      </c>
      <c r="J2471" t="str">
        <f>"5149615878"</f>
        <v>5149615878</v>
      </c>
      <c r="K2471" t="s">
        <v>8976</v>
      </c>
      <c r="L2471" t="s">
        <v>39</v>
      </c>
      <c r="M2471" t="s">
        <v>21</v>
      </c>
    </row>
    <row r="2472" spans="1:13" x14ac:dyDescent="0.35">
      <c r="A2472" t="str">
        <f>"246-7307"</f>
        <v>246-7307</v>
      </c>
      <c r="B2472" t="s">
        <v>8977</v>
      </c>
      <c r="C2472" t="str">
        <f>"8410"</f>
        <v>8410</v>
      </c>
      <c r="E2472" t="s">
        <v>679</v>
      </c>
      <c r="F2472" t="s">
        <v>24</v>
      </c>
      <c r="G2472" t="s">
        <v>8978</v>
      </c>
      <c r="H2472" t="s">
        <v>17</v>
      </c>
      <c r="I2472" t="s">
        <v>18</v>
      </c>
      <c r="J2472" t="str">
        <f>"5143761620"</f>
        <v>5143761620</v>
      </c>
      <c r="K2472" t="s">
        <v>8979</v>
      </c>
      <c r="L2472" t="s">
        <v>86</v>
      </c>
      <c r="M2472" t="s">
        <v>21</v>
      </c>
    </row>
    <row r="2473" spans="1:13" x14ac:dyDescent="0.35">
      <c r="A2473" t="str">
        <f>"249-0623"</f>
        <v>249-0623</v>
      </c>
      <c r="B2473" t="s">
        <v>8980</v>
      </c>
      <c r="C2473" t="str">
        <f>"508"</f>
        <v>508</v>
      </c>
      <c r="E2473" t="s">
        <v>8981</v>
      </c>
      <c r="F2473" t="s">
        <v>54</v>
      </c>
      <c r="G2473" t="s">
        <v>8982</v>
      </c>
      <c r="H2473" t="s">
        <v>17</v>
      </c>
      <c r="I2473" t="s">
        <v>18</v>
      </c>
      <c r="J2473" t="str">
        <f>"5144732919"</f>
        <v>5144732919</v>
      </c>
      <c r="K2473" t="s">
        <v>8983</v>
      </c>
      <c r="L2473" t="s">
        <v>70</v>
      </c>
      <c r="M2473" t="s">
        <v>21</v>
      </c>
    </row>
    <row r="2474" spans="1:13" x14ac:dyDescent="0.35">
      <c r="A2474" t="str">
        <f>"249-0697"</f>
        <v>249-0697</v>
      </c>
      <c r="B2474" t="s">
        <v>8984</v>
      </c>
      <c r="C2474" t="str">
        <f>"2273"</f>
        <v>2273</v>
      </c>
      <c r="E2474" t="s">
        <v>8985</v>
      </c>
      <c r="F2474" t="s">
        <v>24</v>
      </c>
      <c r="G2474" t="s">
        <v>8986</v>
      </c>
      <c r="H2474" t="s">
        <v>17</v>
      </c>
      <c r="I2474" t="s">
        <v>18</v>
      </c>
      <c r="J2474" t="str">
        <f>"4386999240"</f>
        <v>4386999240</v>
      </c>
      <c r="K2474" t="s">
        <v>8987</v>
      </c>
      <c r="L2474" t="s">
        <v>396</v>
      </c>
      <c r="M2474" t="s">
        <v>21</v>
      </c>
    </row>
    <row r="2475" spans="1:13" x14ac:dyDescent="0.35">
      <c r="A2475" t="str">
        <f>"249-0961"</f>
        <v>249-0961</v>
      </c>
      <c r="B2475" t="s">
        <v>8988</v>
      </c>
      <c r="C2475" t="str">
        <f>"10570"</f>
        <v>10570</v>
      </c>
      <c r="E2475" t="s">
        <v>913</v>
      </c>
      <c r="F2475" t="s">
        <v>24</v>
      </c>
      <c r="G2475" t="s">
        <v>6506</v>
      </c>
      <c r="H2475" t="s">
        <v>17</v>
      </c>
      <c r="I2475" t="s">
        <v>18</v>
      </c>
      <c r="J2475" t="str">
        <f>"5143693481"</f>
        <v>5143693481</v>
      </c>
      <c r="K2475" t="s">
        <v>8989</v>
      </c>
      <c r="L2475" t="s">
        <v>88</v>
      </c>
      <c r="M2475" t="s">
        <v>21</v>
      </c>
    </row>
    <row r="2476" spans="1:13" x14ac:dyDescent="0.35">
      <c r="A2476" t="str">
        <f>"249-1101"</f>
        <v>249-1101</v>
      </c>
      <c r="B2476" t="s">
        <v>8990</v>
      </c>
      <c r="C2476" t="str">
        <f>"4132"</f>
        <v>4132</v>
      </c>
      <c r="E2476" t="s">
        <v>8991</v>
      </c>
      <c r="F2476" t="s">
        <v>24</v>
      </c>
      <c r="G2476" t="s">
        <v>8992</v>
      </c>
      <c r="H2476" t="s">
        <v>17</v>
      </c>
      <c r="I2476" t="s">
        <v>18</v>
      </c>
      <c r="J2476" t="str">
        <f>"5147395075"</f>
        <v>5147395075</v>
      </c>
      <c r="K2476" t="s">
        <v>8993</v>
      </c>
      <c r="L2476" t="s">
        <v>396</v>
      </c>
      <c r="M2476" t="s">
        <v>21</v>
      </c>
    </row>
    <row r="2477" spans="1:13" x14ac:dyDescent="0.35">
      <c r="A2477" t="str">
        <f>"249-1335"</f>
        <v>249-1335</v>
      </c>
      <c r="B2477" t="s">
        <v>8994</v>
      </c>
      <c r="C2477" t="str">
        <f>"1805"</f>
        <v>1805</v>
      </c>
      <c r="E2477" t="s">
        <v>8995</v>
      </c>
      <c r="F2477" t="s">
        <v>54</v>
      </c>
      <c r="G2477" t="s">
        <v>8996</v>
      </c>
      <c r="H2477" t="s">
        <v>17</v>
      </c>
      <c r="I2477" t="s">
        <v>18</v>
      </c>
      <c r="J2477" t="str">
        <f>"4389256012"</f>
        <v>4389256012</v>
      </c>
      <c r="K2477" t="s">
        <v>8997</v>
      </c>
      <c r="L2477" t="s">
        <v>86</v>
      </c>
      <c r="M2477" t="s">
        <v>21</v>
      </c>
    </row>
    <row r="2478" spans="1:13" x14ac:dyDescent="0.35">
      <c r="A2478" t="str">
        <f>"622-6525"</f>
        <v>622-6525</v>
      </c>
      <c r="B2478" t="s">
        <v>8998</v>
      </c>
      <c r="C2478" t="str">
        <f>"6951"</f>
        <v>6951</v>
      </c>
      <c r="E2478" t="s">
        <v>8999</v>
      </c>
      <c r="F2478" t="s">
        <v>656</v>
      </c>
      <c r="G2478" t="s">
        <v>9000</v>
      </c>
      <c r="H2478" t="s">
        <v>17</v>
      </c>
      <c r="I2478" t="s">
        <v>18</v>
      </c>
      <c r="J2478" t="str">
        <f>"4388755702"</f>
        <v>4388755702</v>
      </c>
      <c r="K2478" t="s">
        <v>9001</v>
      </c>
      <c r="L2478" t="s">
        <v>88</v>
      </c>
      <c r="M2478" t="s">
        <v>21</v>
      </c>
    </row>
    <row r="2479" spans="1:13" x14ac:dyDescent="0.35">
      <c r="A2479" t="str">
        <f>"622-9708"</f>
        <v>622-9708</v>
      </c>
      <c r="B2479" t="s">
        <v>9002</v>
      </c>
      <c r="C2479" t="str">
        <f>"6188"</f>
        <v>6188</v>
      </c>
      <c r="E2479" t="s">
        <v>5792</v>
      </c>
      <c r="F2479" t="s">
        <v>143</v>
      </c>
      <c r="G2479" t="s">
        <v>9003</v>
      </c>
      <c r="H2479" t="s">
        <v>17</v>
      </c>
      <c r="I2479" t="s">
        <v>18</v>
      </c>
      <c r="J2479" t="str">
        <f>"5146387284"</f>
        <v>5146387284</v>
      </c>
      <c r="K2479" t="s">
        <v>9004</v>
      </c>
      <c r="L2479" t="s">
        <v>396</v>
      </c>
      <c r="M2479" t="s">
        <v>21</v>
      </c>
    </row>
    <row r="2480" spans="1:13" x14ac:dyDescent="0.35">
      <c r="A2480" t="str">
        <f>"623-0347"</f>
        <v>623-0347</v>
      </c>
      <c r="B2480" t="s">
        <v>9005</v>
      </c>
      <c r="C2480" t="str">
        <f>"1869"</f>
        <v>1869</v>
      </c>
      <c r="E2480" t="s">
        <v>5478</v>
      </c>
      <c r="F2480" t="s">
        <v>24</v>
      </c>
      <c r="G2480" t="s">
        <v>9006</v>
      </c>
      <c r="H2480" t="s">
        <v>17</v>
      </c>
      <c r="I2480" t="s">
        <v>18</v>
      </c>
      <c r="J2480" t="str">
        <f>"5146682767"</f>
        <v>5146682767</v>
      </c>
      <c r="K2480" t="s">
        <v>9007</v>
      </c>
      <c r="L2480" t="s">
        <v>86</v>
      </c>
      <c r="M2480" t="s">
        <v>21</v>
      </c>
    </row>
    <row r="2481" spans="1:13" x14ac:dyDescent="0.35">
      <c r="A2481" t="str">
        <f>"628-7274"</f>
        <v>628-7274</v>
      </c>
      <c r="B2481" t="s">
        <v>9008</v>
      </c>
      <c r="C2481" t="str">
        <f>"7516"</f>
        <v>7516</v>
      </c>
      <c r="E2481" t="s">
        <v>2656</v>
      </c>
      <c r="F2481" t="s">
        <v>24</v>
      </c>
      <c r="G2481" t="s">
        <v>9009</v>
      </c>
      <c r="H2481" t="s">
        <v>17</v>
      </c>
      <c r="I2481" t="s">
        <v>18</v>
      </c>
      <c r="J2481" t="str">
        <f>"5142145458"</f>
        <v>5142145458</v>
      </c>
      <c r="K2481" t="s">
        <v>9010</v>
      </c>
      <c r="L2481" t="s">
        <v>86</v>
      </c>
      <c r="M2481" t="s">
        <v>21</v>
      </c>
    </row>
    <row r="2482" spans="1:13" x14ac:dyDescent="0.35">
      <c r="A2482" t="str">
        <f>"628-7757"</f>
        <v>628-7757</v>
      </c>
      <c r="B2482" t="s">
        <v>9011</v>
      </c>
      <c r="C2482" t="str">
        <f>"12034"</f>
        <v>12034</v>
      </c>
      <c r="E2482" t="s">
        <v>5884</v>
      </c>
      <c r="F2482" t="s">
        <v>24</v>
      </c>
      <c r="G2482" t="s">
        <v>9012</v>
      </c>
      <c r="H2482" t="s">
        <v>17</v>
      </c>
      <c r="I2482" t="s">
        <v>18</v>
      </c>
      <c r="J2482" t="str">
        <f>"5143274842"</f>
        <v>5143274842</v>
      </c>
      <c r="K2482" t="s">
        <v>9013</v>
      </c>
      <c r="L2482" t="s">
        <v>86</v>
      </c>
      <c r="M2482" t="s">
        <v>21</v>
      </c>
    </row>
    <row r="2483" spans="1:13" x14ac:dyDescent="0.35">
      <c r="A2483" t="str">
        <f>"628-8307"</f>
        <v>628-8307</v>
      </c>
      <c r="B2483" t="s">
        <v>9014</v>
      </c>
      <c r="C2483" t="str">
        <f>"261"</f>
        <v>261</v>
      </c>
      <c r="E2483" t="s">
        <v>2227</v>
      </c>
      <c r="F2483" t="s">
        <v>1512</v>
      </c>
      <c r="G2483" t="s">
        <v>9015</v>
      </c>
      <c r="H2483" t="s">
        <v>17</v>
      </c>
      <c r="I2483" t="s">
        <v>18</v>
      </c>
      <c r="J2483" t="str">
        <f>"4382256777"</f>
        <v>4382256777</v>
      </c>
      <c r="K2483" t="s">
        <v>9016</v>
      </c>
      <c r="L2483" t="s">
        <v>88</v>
      </c>
      <c r="M2483" t="s">
        <v>21</v>
      </c>
    </row>
    <row r="2484" spans="1:13" x14ac:dyDescent="0.35">
      <c r="A2484" t="str">
        <f>"628-8992"</f>
        <v>628-8992</v>
      </c>
      <c r="B2484" t="s">
        <v>9017</v>
      </c>
      <c r="C2484" t="str">
        <f>"11996"</f>
        <v>11996</v>
      </c>
      <c r="E2484" t="s">
        <v>9018</v>
      </c>
      <c r="F2484" t="s">
        <v>24</v>
      </c>
      <c r="G2484" t="s">
        <v>9019</v>
      </c>
      <c r="H2484" t="s">
        <v>17</v>
      </c>
      <c r="I2484" t="s">
        <v>18</v>
      </c>
      <c r="J2484" t="str">
        <f>"5142565376"</f>
        <v>5142565376</v>
      </c>
      <c r="K2484" t="s">
        <v>9020</v>
      </c>
      <c r="L2484" t="s">
        <v>396</v>
      </c>
      <c r="M2484" t="s">
        <v>21</v>
      </c>
    </row>
    <row r="2485" spans="1:13" x14ac:dyDescent="0.35">
      <c r="A2485" t="str">
        <f>"630-9893"</f>
        <v>630-9893</v>
      </c>
      <c r="B2485" t="s">
        <v>9021</v>
      </c>
      <c r="C2485" t="str">
        <f>"8966"</f>
        <v>8966</v>
      </c>
      <c r="E2485" t="s">
        <v>445</v>
      </c>
      <c r="F2485" t="s">
        <v>24</v>
      </c>
      <c r="G2485" t="s">
        <v>9022</v>
      </c>
      <c r="H2485" t="s">
        <v>17</v>
      </c>
      <c r="I2485" t="s">
        <v>18</v>
      </c>
      <c r="J2485" t="str">
        <f>"5148312035"</f>
        <v>5148312035</v>
      </c>
      <c r="K2485" t="s">
        <v>9023</v>
      </c>
      <c r="L2485" t="s">
        <v>86</v>
      </c>
      <c r="M2485" t="s">
        <v>21</v>
      </c>
    </row>
    <row r="2486" spans="1:13" x14ac:dyDescent="0.35">
      <c r="A2486" t="str">
        <f>"631-0537"</f>
        <v>631-0537</v>
      </c>
      <c r="B2486" t="s">
        <v>9024</v>
      </c>
      <c r="C2486" t="str">
        <f>"5855"</f>
        <v>5855</v>
      </c>
      <c r="E2486" t="s">
        <v>9025</v>
      </c>
      <c r="F2486" t="s">
        <v>24</v>
      </c>
      <c r="G2486" t="s">
        <v>9026</v>
      </c>
      <c r="H2486" t="s">
        <v>17</v>
      </c>
      <c r="I2486" t="s">
        <v>18</v>
      </c>
      <c r="J2486" t="str">
        <f>"4389924091"</f>
        <v>4389924091</v>
      </c>
      <c r="K2486" t="s">
        <v>9027</v>
      </c>
      <c r="L2486" t="s">
        <v>86</v>
      </c>
      <c r="M2486" t="s">
        <v>21</v>
      </c>
    </row>
    <row r="2487" spans="1:13" x14ac:dyDescent="0.35">
      <c r="A2487" t="str">
        <f>"631-0984"</f>
        <v>631-0984</v>
      </c>
      <c r="B2487" t="s">
        <v>9028</v>
      </c>
      <c r="C2487" t="str">
        <f>"1453"</f>
        <v>1453</v>
      </c>
      <c r="E2487" t="s">
        <v>8601</v>
      </c>
      <c r="F2487" t="s">
        <v>24</v>
      </c>
      <c r="G2487" t="s">
        <v>9029</v>
      </c>
      <c r="H2487" t="s">
        <v>17</v>
      </c>
      <c r="I2487" t="s">
        <v>18</v>
      </c>
      <c r="J2487" t="str">
        <f>"5144485560"</f>
        <v>5144485560</v>
      </c>
      <c r="K2487" t="s">
        <v>9030</v>
      </c>
      <c r="L2487" t="s">
        <v>86</v>
      </c>
      <c r="M2487" t="s">
        <v>21</v>
      </c>
    </row>
    <row r="2488" spans="1:13" x14ac:dyDescent="0.35">
      <c r="A2488" t="str">
        <f>"631-1008"</f>
        <v>631-1008</v>
      </c>
      <c r="B2488" t="s">
        <v>9031</v>
      </c>
      <c r="C2488" t="str">
        <f>"8391"</f>
        <v>8391</v>
      </c>
      <c r="E2488" t="s">
        <v>3743</v>
      </c>
      <c r="F2488" t="s">
        <v>24</v>
      </c>
      <c r="G2488" t="s">
        <v>9032</v>
      </c>
      <c r="H2488" t="s">
        <v>17</v>
      </c>
      <c r="I2488" t="s">
        <v>18</v>
      </c>
      <c r="J2488" t="str">
        <f>"4385193317"</f>
        <v>4385193317</v>
      </c>
      <c r="K2488" t="s">
        <v>9033</v>
      </c>
      <c r="L2488" t="s">
        <v>396</v>
      </c>
      <c r="M2488" t="s">
        <v>21</v>
      </c>
    </row>
    <row r="2489" spans="1:13" x14ac:dyDescent="0.35">
      <c r="A2489" t="str">
        <f>"624-2112"</f>
        <v>624-2112</v>
      </c>
      <c r="B2489" t="s">
        <v>9034</v>
      </c>
      <c r="C2489" t="str">
        <f>"5952"</f>
        <v>5952</v>
      </c>
      <c r="D2489" t="str">
        <f>"5952"</f>
        <v>5952</v>
      </c>
      <c r="E2489" t="s">
        <v>4088</v>
      </c>
      <c r="F2489" t="s">
        <v>24</v>
      </c>
      <c r="G2489" t="s">
        <v>9035</v>
      </c>
      <c r="H2489" t="s">
        <v>17</v>
      </c>
      <c r="I2489" t="s">
        <v>18</v>
      </c>
      <c r="J2489" t="str">
        <f>"5148460553"</f>
        <v>5148460553</v>
      </c>
      <c r="K2489" t="s">
        <v>9036</v>
      </c>
      <c r="L2489" t="s">
        <v>396</v>
      </c>
      <c r="M2489" t="s">
        <v>21</v>
      </c>
    </row>
    <row r="2490" spans="1:13" x14ac:dyDescent="0.35">
      <c r="A2490" t="str">
        <f>"624-2283"</f>
        <v>624-2283</v>
      </c>
      <c r="B2490" t="s">
        <v>9037</v>
      </c>
      <c r="C2490" t="str">
        <f>"6400"</f>
        <v>6400</v>
      </c>
      <c r="E2490" t="s">
        <v>169</v>
      </c>
      <c r="F2490" t="s">
        <v>24</v>
      </c>
      <c r="G2490" t="s">
        <v>170</v>
      </c>
      <c r="H2490" t="s">
        <v>17</v>
      </c>
      <c r="I2490" t="s">
        <v>18</v>
      </c>
      <c r="J2490" t="str">
        <f>"5148235587"</f>
        <v>5148235587</v>
      </c>
      <c r="K2490" t="s">
        <v>9038</v>
      </c>
      <c r="L2490" t="s">
        <v>137</v>
      </c>
      <c r="M2490" t="s">
        <v>21</v>
      </c>
    </row>
    <row r="2491" spans="1:13" x14ac:dyDescent="0.35">
      <c r="A2491" t="str">
        <f>"624-3563"</f>
        <v>624-3563</v>
      </c>
      <c r="B2491" t="s">
        <v>9039</v>
      </c>
      <c r="C2491" t="str">
        <f>"258"</f>
        <v>258</v>
      </c>
      <c r="E2491" t="s">
        <v>9040</v>
      </c>
      <c r="F2491" t="s">
        <v>32</v>
      </c>
      <c r="G2491" t="s">
        <v>9041</v>
      </c>
      <c r="H2491" t="s">
        <v>17</v>
      </c>
      <c r="I2491" t="s">
        <v>18</v>
      </c>
      <c r="J2491" t="str">
        <f>"4505409897"</f>
        <v>4505409897</v>
      </c>
      <c r="K2491" t="s">
        <v>9042</v>
      </c>
      <c r="L2491" t="s">
        <v>39</v>
      </c>
      <c r="M2491" t="s">
        <v>21</v>
      </c>
    </row>
    <row r="2492" spans="1:13" x14ac:dyDescent="0.35">
      <c r="A2492" t="str">
        <f>"624-7070"</f>
        <v>624-7070</v>
      </c>
      <c r="B2492" t="s">
        <v>9043</v>
      </c>
      <c r="C2492" t="str">
        <f>"1348"</f>
        <v>1348</v>
      </c>
      <c r="E2492" t="s">
        <v>9044</v>
      </c>
      <c r="F2492" t="s">
        <v>54</v>
      </c>
      <c r="G2492" t="s">
        <v>9045</v>
      </c>
      <c r="H2492" t="s">
        <v>17</v>
      </c>
      <c r="I2492" t="s">
        <v>18</v>
      </c>
      <c r="J2492" t="str">
        <f>"5149931348"</f>
        <v>5149931348</v>
      </c>
      <c r="K2492" t="s">
        <v>9046</v>
      </c>
      <c r="L2492" t="s">
        <v>220</v>
      </c>
      <c r="M2492" t="s">
        <v>21</v>
      </c>
    </row>
    <row r="2493" spans="1:13" x14ac:dyDescent="0.35">
      <c r="A2493" t="str">
        <f>"625-3026"</f>
        <v>625-3026</v>
      </c>
      <c r="B2493" t="s">
        <v>9047</v>
      </c>
      <c r="C2493" t="str">
        <f>"7392"</f>
        <v>7392</v>
      </c>
      <c r="E2493" t="s">
        <v>28</v>
      </c>
      <c r="F2493" t="s">
        <v>24</v>
      </c>
      <c r="G2493" t="s">
        <v>9048</v>
      </c>
      <c r="H2493" t="s">
        <v>17</v>
      </c>
      <c r="I2493" t="s">
        <v>18</v>
      </c>
      <c r="J2493" t="str">
        <f>"5144192207"</f>
        <v>5144192207</v>
      </c>
      <c r="K2493" t="s">
        <v>9049</v>
      </c>
      <c r="L2493" t="s">
        <v>76</v>
      </c>
      <c r="M2493" t="s">
        <v>21</v>
      </c>
    </row>
    <row r="2494" spans="1:13" x14ac:dyDescent="0.35">
      <c r="A2494" t="str">
        <f>"629-2725"</f>
        <v>629-2725</v>
      </c>
      <c r="B2494" t="s">
        <v>9050</v>
      </c>
      <c r="C2494" t="str">
        <f>"8420"</f>
        <v>8420</v>
      </c>
      <c r="D2494" t="str">
        <f>"6"</f>
        <v>6</v>
      </c>
      <c r="E2494" t="s">
        <v>2587</v>
      </c>
      <c r="F2494" t="s">
        <v>40</v>
      </c>
      <c r="G2494" t="s">
        <v>2588</v>
      </c>
      <c r="H2494" t="s">
        <v>17</v>
      </c>
      <c r="I2494" t="s">
        <v>18</v>
      </c>
      <c r="J2494" t="str">
        <f>"4389253102"</f>
        <v>4389253102</v>
      </c>
      <c r="K2494" t="s">
        <v>9051</v>
      </c>
      <c r="L2494" t="s">
        <v>86</v>
      </c>
      <c r="M2494" t="s">
        <v>21</v>
      </c>
    </row>
    <row r="2495" spans="1:13" x14ac:dyDescent="0.35">
      <c r="A2495" t="str">
        <f>"629-2751"</f>
        <v>629-2751</v>
      </c>
      <c r="B2495" t="s">
        <v>9052</v>
      </c>
      <c r="C2495" t="str">
        <f>"306"</f>
        <v>306</v>
      </c>
      <c r="E2495" t="s">
        <v>9053</v>
      </c>
      <c r="F2495" t="s">
        <v>32</v>
      </c>
      <c r="G2495" t="s">
        <v>9054</v>
      </c>
      <c r="H2495" t="s">
        <v>17</v>
      </c>
      <c r="I2495" t="s">
        <v>18</v>
      </c>
      <c r="J2495" t="str">
        <f>"4388658781"</f>
        <v>4388658781</v>
      </c>
      <c r="K2495" t="s">
        <v>9055</v>
      </c>
      <c r="L2495" t="s">
        <v>396</v>
      </c>
      <c r="M2495" t="s">
        <v>21</v>
      </c>
    </row>
    <row r="2496" spans="1:13" x14ac:dyDescent="0.35">
      <c r="A2496" t="str">
        <f>"629-8299"</f>
        <v>629-8299</v>
      </c>
      <c r="B2496" t="s">
        <v>9056</v>
      </c>
      <c r="C2496" t="str">
        <f>"12748"</f>
        <v>12748</v>
      </c>
      <c r="D2496" t="str">
        <f>"1"</f>
        <v>1</v>
      </c>
      <c r="E2496" t="s">
        <v>268</v>
      </c>
      <c r="F2496" t="s">
        <v>24</v>
      </c>
      <c r="G2496" t="s">
        <v>9057</v>
      </c>
      <c r="H2496" t="s">
        <v>17</v>
      </c>
      <c r="I2496" t="s">
        <v>18</v>
      </c>
      <c r="J2496" t="str">
        <f>"4383546007"</f>
        <v>4383546007</v>
      </c>
      <c r="K2496" t="s">
        <v>9058</v>
      </c>
      <c r="L2496" t="s">
        <v>168</v>
      </c>
      <c r="M2496" t="s">
        <v>21</v>
      </c>
    </row>
    <row r="2497" spans="1:13" x14ac:dyDescent="0.35">
      <c r="A2497" t="str">
        <f>"629-8956"</f>
        <v>629-8956</v>
      </c>
      <c r="B2497" t="s">
        <v>9059</v>
      </c>
      <c r="C2497" t="str">
        <f>"5524"</f>
        <v>5524</v>
      </c>
      <c r="E2497" t="s">
        <v>339</v>
      </c>
      <c r="F2497" t="s">
        <v>24</v>
      </c>
      <c r="G2497" t="s">
        <v>9060</v>
      </c>
      <c r="H2497" t="s">
        <v>17</v>
      </c>
      <c r="I2497" t="s">
        <v>18</v>
      </c>
      <c r="J2497" t="str">
        <f>"4385064106"</f>
        <v>4385064106</v>
      </c>
      <c r="K2497" t="s">
        <v>9061</v>
      </c>
      <c r="L2497" t="s">
        <v>396</v>
      </c>
      <c r="M2497" t="s">
        <v>21</v>
      </c>
    </row>
    <row r="2498" spans="1:13" x14ac:dyDescent="0.35">
      <c r="A2498" t="str">
        <f>"632-0297"</f>
        <v>632-0297</v>
      </c>
      <c r="B2498" t="s">
        <v>9062</v>
      </c>
      <c r="C2498" t="str">
        <f>"3200"</f>
        <v>3200</v>
      </c>
      <c r="E2498" t="s">
        <v>9063</v>
      </c>
      <c r="F2498" t="s">
        <v>24</v>
      </c>
      <c r="G2498" t="s">
        <v>9064</v>
      </c>
      <c r="H2498" t="s">
        <v>17</v>
      </c>
      <c r="I2498" t="s">
        <v>18</v>
      </c>
      <c r="J2498" t="str">
        <f>"5145496673"</f>
        <v>5145496673</v>
      </c>
      <c r="K2498" t="s">
        <v>9065</v>
      </c>
      <c r="L2498" t="s">
        <v>86</v>
      </c>
      <c r="M2498" t="s">
        <v>21</v>
      </c>
    </row>
    <row r="2499" spans="1:13" x14ac:dyDescent="0.35">
      <c r="A2499" t="str">
        <f>"632-0719"</f>
        <v>632-0719</v>
      </c>
      <c r="B2499" t="s">
        <v>9066</v>
      </c>
      <c r="C2499" t="str">
        <f>"3221"</f>
        <v>3221</v>
      </c>
      <c r="E2499" t="s">
        <v>9067</v>
      </c>
      <c r="F2499" t="s">
        <v>54</v>
      </c>
      <c r="G2499" t="s">
        <v>9068</v>
      </c>
      <c r="H2499" t="s">
        <v>17</v>
      </c>
      <c r="I2499" t="s">
        <v>18</v>
      </c>
      <c r="J2499" t="str">
        <f>"4387773842"</f>
        <v>4387773842</v>
      </c>
      <c r="K2499" t="s">
        <v>9069</v>
      </c>
      <c r="L2499" t="s">
        <v>86</v>
      </c>
      <c r="M2499" t="s">
        <v>21</v>
      </c>
    </row>
    <row r="2500" spans="1:13" x14ac:dyDescent="0.35">
      <c r="A2500" t="str">
        <f>"632-0757"</f>
        <v>632-0757</v>
      </c>
      <c r="B2500" t="s">
        <v>9070</v>
      </c>
      <c r="C2500" t="str">
        <f>"1405"</f>
        <v>1405</v>
      </c>
      <c r="E2500" t="s">
        <v>9071</v>
      </c>
      <c r="F2500" t="s">
        <v>54</v>
      </c>
      <c r="G2500" t="s">
        <v>9072</v>
      </c>
      <c r="H2500" t="s">
        <v>17</v>
      </c>
      <c r="I2500" t="s">
        <v>18</v>
      </c>
      <c r="J2500" t="str">
        <f>"4382267255"</f>
        <v>4382267255</v>
      </c>
      <c r="K2500" t="s">
        <v>9073</v>
      </c>
      <c r="L2500" t="s">
        <v>86</v>
      </c>
      <c r="M2500" t="s">
        <v>21</v>
      </c>
    </row>
    <row r="2501" spans="1:13" x14ac:dyDescent="0.35">
      <c r="A2501" t="str">
        <f>"632-5652"</f>
        <v>632-5652</v>
      </c>
      <c r="B2501" t="s">
        <v>9074</v>
      </c>
      <c r="C2501" t="str">
        <f>"4910"</f>
        <v>4910</v>
      </c>
      <c r="D2501" t="str">
        <f>"3"</f>
        <v>3</v>
      </c>
      <c r="E2501" t="s">
        <v>5507</v>
      </c>
      <c r="F2501" t="s">
        <v>24</v>
      </c>
      <c r="G2501" t="s">
        <v>9075</v>
      </c>
      <c r="H2501" t="s">
        <v>17</v>
      </c>
      <c r="I2501" t="s">
        <v>18</v>
      </c>
      <c r="J2501" t="str">
        <f>"5143864670"</f>
        <v>5143864670</v>
      </c>
      <c r="K2501" t="s">
        <v>9076</v>
      </c>
      <c r="L2501" t="s">
        <v>396</v>
      </c>
      <c r="M2501" t="s">
        <v>21</v>
      </c>
    </row>
    <row r="2502" spans="1:13" x14ac:dyDescent="0.35">
      <c r="A2502" t="str">
        <f>"632-5690"</f>
        <v>632-5690</v>
      </c>
      <c r="B2502" t="s">
        <v>9077</v>
      </c>
      <c r="C2502" t="str">
        <f>"10105"</f>
        <v>10105</v>
      </c>
      <c r="D2502" t="str">
        <f>"02"</f>
        <v>02</v>
      </c>
      <c r="E2502" t="s">
        <v>830</v>
      </c>
      <c r="F2502" t="s">
        <v>24</v>
      </c>
      <c r="G2502" t="s">
        <v>9078</v>
      </c>
      <c r="H2502" t="s">
        <v>17</v>
      </c>
      <c r="I2502" t="s">
        <v>18</v>
      </c>
      <c r="J2502" t="str">
        <f>"2637709882"</f>
        <v>2637709882</v>
      </c>
      <c r="K2502" t="s">
        <v>9079</v>
      </c>
      <c r="L2502" t="s">
        <v>88</v>
      </c>
      <c r="M2502" t="s">
        <v>21</v>
      </c>
    </row>
    <row r="2503" spans="1:13" x14ac:dyDescent="0.35">
      <c r="A2503" t="str">
        <f>"630-2750"</f>
        <v>630-2750</v>
      </c>
      <c r="B2503" t="s">
        <v>9080</v>
      </c>
      <c r="C2503" t="str">
        <f>"7225"</f>
        <v>7225</v>
      </c>
      <c r="E2503" t="s">
        <v>3505</v>
      </c>
      <c r="F2503" t="s">
        <v>24</v>
      </c>
      <c r="G2503" t="s">
        <v>9081</v>
      </c>
      <c r="H2503" t="s">
        <v>17</v>
      </c>
      <c r="I2503" t="s">
        <v>18</v>
      </c>
      <c r="J2503" t="str">
        <f>"4389251678"</f>
        <v>4389251678</v>
      </c>
      <c r="K2503" t="s">
        <v>9082</v>
      </c>
      <c r="L2503" t="s">
        <v>396</v>
      </c>
      <c r="M2503" t="s">
        <v>21</v>
      </c>
    </row>
    <row r="2504" spans="1:13" x14ac:dyDescent="0.35">
      <c r="A2504" t="str">
        <f>"630-3134"</f>
        <v>630-3134</v>
      </c>
      <c r="B2504" t="s">
        <v>9083</v>
      </c>
      <c r="C2504" t="str">
        <f>"5847"</f>
        <v>5847</v>
      </c>
      <c r="E2504" t="s">
        <v>9084</v>
      </c>
      <c r="F2504" t="s">
        <v>54</v>
      </c>
      <c r="G2504" t="s">
        <v>9085</v>
      </c>
      <c r="H2504" t="s">
        <v>17</v>
      </c>
      <c r="I2504" t="s">
        <v>18</v>
      </c>
      <c r="J2504" t="str">
        <f>"5149804914"</f>
        <v>5149804914</v>
      </c>
      <c r="K2504" t="s">
        <v>9086</v>
      </c>
      <c r="L2504" t="s">
        <v>76</v>
      </c>
      <c r="M2504" t="s">
        <v>21</v>
      </c>
    </row>
    <row r="2505" spans="1:13" x14ac:dyDescent="0.35">
      <c r="A2505" t="str">
        <f>"630-3149"</f>
        <v>630-3149</v>
      </c>
      <c r="B2505" t="s">
        <v>9087</v>
      </c>
      <c r="C2505" t="str">
        <f>"4645"</f>
        <v>4645</v>
      </c>
      <c r="E2505" t="s">
        <v>544</v>
      </c>
      <c r="F2505" t="s">
        <v>24</v>
      </c>
      <c r="G2505" t="s">
        <v>9088</v>
      </c>
      <c r="H2505" t="s">
        <v>17</v>
      </c>
      <c r="I2505" t="s">
        <v>18</v>
      </c>
      <c r="J2505" t="str">
        <f>"4388867446"</f>
        <v>4388867446</v>
      </c>
      <c r="K2505" t="s">
        <v>9089</v>
      </c>
      <c r="L2505" t="s">
        <v>86</v>
      </c>
      <c r="M2505" t="s">
        <v>21</v>
      </c>
    </row>
    <row r="2506" spans="1:13" x14ac:dyDescent="0.35">
      <c r="A2506" t="str">
        <f>"630-8488"</f>
        <v>630-8488</v>
      </c>
      <c r="B2506" t="s">
        <v>9090</v>
      </c>
      <c r="C2506" t="str">
        <f>"5940"</f>
        <v>5940</v>
      </c>
      <c r="E2506" t="s">
        <v>1276</v>
      </c>
      <c r="F2506" t="s">
        <v>24</v>
      </c>
      <c r="G2506" t="s">
        <v>9091</v>
      </c>
      <c r="H2506" t="s">
        <v>17</v>
      </c>
      <c r="I2506" t="s">
        <v>18</v>
      </c>
      <c r="J2506" t="str">
        <f>"5144090899"</f>
        <v>5144090899</v>
      </c>
      <c r="K2506" t="s">
        <v>9092</v>
      </c>
      <c r="L2506" t="s">
        <v>88</v>
      </c>
      <c r="M2506" t="s">
        <v>21</v>
      </c>
    </row>
    <row r="2507" spans="1:13" x14ac:dyDescent="0.35">
      <c r="A2507" t="str">
        <f>"630-8866"</f>
        <v>630-8866</v>
      </c>
      <c r="B2507" t="s">
        <v>9093</v>
      </c>
      <c r="C2507" t="str">
        <f>"1060"</f>
        <v>1060</v>
      </c>
      <c r="E2507" t="s">
        <v>9094</v>
      </c>
      <c r="F2507" t="s">
        <v>54</v>
      </c>
      <c r="G2507" t="s">
        <v>9095</v>
      </c>
      <c r="H2507" t="s">
        <v>17</v>
      </c>
      <c r="I2507" t="s">
        <v>18</v>
      </c>
      <c r="J2507" t="str">
        <f>"5147176994"</f>
        <v>5147176994</v>
      </c>
      <c r="K2507" t="s">
        <v>9096</v>
      </c>
      <c r="L2507" t="s">
        <v>396</v>
      </c>
      <c r="M2507" t="s">
        <v>21</v>
      </c>
    </row>
    <row r="2508" spans="1:13" x14ac:dyDescent="0.35">
      <c r="A2508" t="str">
        <f>"630-9217"</f>
        <v>630-9217</v>
      </c>
      <c r="B2508" t="s">
        <v>9097</v>
      </c>
      <c r="C2508" t="str">
        <f>"62"</f>
        <v>62</v>
      </c>
      <c r="E2508" t="s">
        <v>9098</v>
      </c>
      <c r="F2508" t="s">
        <v>32</v>
      </c>
      <c r="G2508" t="s">
        <v>9099</v>
      </c>
      <c r="H2508" t="s">
        <v>17</v>
      </c>
      <c r="I2508" t="s">
        <v>18</v>
      </c>
      <c r="J2508" t="str">
        <f>"5144623693"</f>
        <v>5144623693</v>
      </c>
      <c r="K2508" t="s">
        <v>9100</v>
      </c>
      <c r="L2508" t="s">
        <v>137</v>
      </c>
      <c r="M2508" t="s">
        <v>21</v>
      </c>
    </row>
    <row r="2509" spans="1:13" x14ac:dyDescent="0.35">
      <c r="A2509" t="str">
        <f>"630-9222"</f>
        <v>630-9222</v>
      </c>
      <c r="B2509" t="s">
        <v>9101</v>
      </c>
      <c r="C2509" t="str">
        <f>"616"</f>
        <v>616</v>
      </c>
      <c r="D2509" t="str">
        <f>"616"</f>
        <v>616</v>
      </c>
      <c r="E2509" t="s">
        <v>9102</v>
      </c>
      <c r="F2509" t="s">
        <v>40</v>
      </c>
      <c r="G2509" t="s">
        <v>9103</v>
      </c>
      <c r="H2509" t="s">
        <v>17</v>
      </c>
      <c r="I2509" t="s">
        <v>18</v>
      </c>
      <c r="J2509" t="str">
        <f>"5147789607"</f>
        <v>5147789607</v>
      </c>
      <c r="K2509" t="s">
        <v>9104</v>
      </c>
      <c r="L2509" t="s">
        <v>168</v>
      </c>
      <c r="M2509" t="s">
        <v>21</v>
      </c>
    </row>
    <row r="2510" spans="1:13" x14ac:dyDescent="0.35">
      <c r="A2510" t="str">
        <f>"630-9663"</f>
        <v>630-9663</v>
      </c>
      <c r="B2510" t="s">
        <v>9105</v>
      </c>
      <c r="C2510" t="str">
        <f>"7833"</f>
        <v>7833</v>
      </c>
      <c r="D2510" t="str">
        <f>"2"</f>
        <v>2</v>
      </c>
      <c r="E2510" t="s">
        <v>1063</v>
      </c>
      <c r="F2510" t="s">
        <v>24</v>
      </c>
      <c r="G2510" t="s">
        <v>9106</v>
      </c>
      <c r="H2510" t="s">
        <v>17</v>
      </c>
      <c r="I2510" t="s">
        <v>18</v>
      </c>
      <c r="J2510" t="str">
        <f>"5148802124"</f>
        <v>5148802124</v>
      </c>
      <c r="K2510" t="s">
        <v>9107</v>
      </c>
      <c r="L2510" t="s">
        <v>137</v>
      </c>
      <c r="M2510" t="s">
        <v>21</v>
      </c>
    </row>
    <row r="2511" spans="1:13" x14ac:dyDescent="0.35">
      <c r="A2511" t="str">
        <f>"631-1862"</f>
        <v>631-1862</v>
      </c>
      <c r="B2511" t="s">
        <v>9108</v>
      </c>
      <c r="C2511" t="str">
        <f>"404"</f>
        <v>404</v>
      </c>
      <c r="D2511" t="str">
        <f>"404"</f>
        <v>404</v>
      </c>
      <c r="E2511" t="s">
        <v>9109</v>
      </c>
      <c r="F2511" t="s">
        <v>656</v>
      </c>
      <c r="G2511" t="s">
        <v>5901</v>
      </c>
      <c r="H2511" t="s">
        <v>17</v>
      </c>
      <c r="I2511" t="s">
        <v>18</v>
      </c>
      <c r="J2511" t="str">
        <f>"4383649494"</f>
        <v>4383649494</v>
      </c>
      <c r="K2511" t="s">
        <v>9110</v>
      </c>
      <c r="L2511" t="s">
        <v>86</v>
      </c>
      <c r="M2511" t="s">
        <v>21</v>
      </c>
    </row>
    <row r="2512" spans="1:13" x14ac:dyDescent="0.35">
      <c r="A2512" t="str">
        <f>"631-2611"</f>
        <v>631-2611</v>
      </c>
      <c r="B2512" t="s">
        <v>9111</v>
      </c>
      <c r="C2512" t="str">
        <f>"12240"</f>
        <v>12240</v>
      </c>
      <c r="D2512" t="str">
        <f>"1"</f>
        <v>1</v>
      </c>
      <c r="E2512" t="s">
        <v>297</v>
      </c>
      <c r="F2512" t="s">
        <v>24</v>
      </c>
      <c r="G2512" t="s">
        <v>298</v>
      </c>
      <c r="H2512" t="s">
        <v>17</v>
      </c>
      <c r="I2512" t="s">
        <v>18</v>
      </c>
      <c r="J2512" t="str">
        <f>"4384994655"</f>
        <v>4384994655</v>
      </c>
      <c r="K2512" t="s">
        <v>9112</v>
      </c>
      <c r="L2512" t="s">
        <v>86</v>
      </c>
      <c r="M2512" t="s">
        <v>21</v>
      </c>
    </row>
    <row r="2513" spans="1:13" x14ac:dyDescent="0.35">
      <c r="A2513" t="str">
        <f>"631-3014"</f>
        <v>631-3014</v>
      </c>
      <c r="B2513" t="s">
        <v>9113</v>
      </c>
      <c r="C2513" t="str">
        <f>"12000"</f>
        <v>12000</v>
      </c>
      <c r="E2513" t="s">
        <v>7333</v>
      </c>
      <c r="F2513" t="s">
        <v>24</v>
      </c>
      <c r="G2513" t="s">
        <v>9114</v>
      </c>
      <c r="H2513" t="s">
        <v>17</v>
      </c>
      <c r="I2513" t="s">
        <v>18</v>
      </c>
      <c r="J2513" t="str">
        <f>"5148125751"</f>
        <v>5148125751</v>
      </c>
      <c r="K2513" t="s">
        <v>9115</v>
      </c>
      <c r="L2513" t="s">
        <v>86</v>
      </c>
      <c r="M2513" t="s">
        <v>21</v>
      </c>
    </row>
    <row r="2514" spans="1:13" x14ac:dyDescent="0.35">
      <c r="A2514" t="str">
        <f>"632-7984"</f>
        <v>632-7984</v>
      </c>
      <c r="B2514" t="s">
        <v>9116</v>
      </c>
      <c r="C2514" t="str">
        <f>"1118"</f>
        <v>1118</v>
      </c>
      <c r="E2514" t="s">
        <v>3394</v>
      </c>
      <c r="F2514" t="s">
        <v>54</v>
      </c>
      <c r="G2514" t="s">
        <v>9117</v>
      </c>
      <c r="H2514" t="s">
        <v>17</v>
      </c>
      <c r="I2514" t="s">
        <v>18</v>
      </c>
      <c r="J2514" t="str">
        <f>"5142620233"</f>
        <v>5142620233</v>
      </c>
      <c r="K2514" t="s">
        <v>9118</v>
      </c>
      <c r="L2514" t="s">
        <v>86</v>
      </c>
      <c r="M2514" t="s">
        <v>21</v>
      </c>
    </row>
    <row r="2515" spans="1:13" x14ac:dyDescent="0.35">
      <c r="A2515" t="str">
        <f>"632-9028"</f>
        <v>632-9028</v>
      </c>
      <c r="B2515" t="s">
        <v>9119</v>
      </c>
      <c r="C2515" t="str">
        <f>"2515"</f>
        <v>2515</v>
      </c>
      <c r="D2515" t="str">
        <f>"9"</f>
        <v>9</v>
      </c>
      <c r="E2515" t="s">
        <v>8899</v>
      </c>
      <c r="F2515" t="s">
        <v>24</v>
      </c>
      <c r="G2515" t="s">
        <v>9120</v>
      </c>
      <c r="H2515" t="s">
        <v>17</v>
      </c>
      <c r="I2515" t="s">
        <v>18</v>
      </c>
      <c r="J2515" t="str">
        <f>"5813977759"</f>
        <v>5813977759</v>
      </c>
      <c r="K2515" t="s">
        <v>9121</v>
      </c>
      <c r="L2515" t="s">
        <v>198</v>
      </c>
      <c r="M2515" t="s">
        <v>21</v>
      </c>
    </row>
    <row r="2516" spans="1:13" x14ac:dyDescent="0.35">
      <c r="A2516" t="str">
        <f>"632-9016"</f>
        <v>632-9016</v>
      </c>
      <c r="B2516" t="s">
        <v>9122</v>
      </c>
      <c r="C2516" t="str">
        <f>"8064"</f>
        <v>8064</v>
      </c>
      <c r="D2516" t="str">
        <f>"2"</f>
        <v>2</v>
      </c>
      <c r="E2516" t="s">
        <v>9123</v>
      </c>
      <c r="F2516" t="s">
        <v>24</v>
      </c>
      <c r="G2516" t="s">
        <v>9124</v>
      </c>
      <c r="H2516" t="s">
        <v>17</v>
      </c>
      <c r="I2516" t="s">
        <v>18</v>
      </c>
      <c r="J2516" t="str">
        <f>"4384553609"</f>
        <v>4384553609</v>
      </c>
      <c r="K2516" t="s">
        <v>9125</v>
      </c>
      <c r="L2516" t="s">
        <v>86</v>
      </c>
      <c r="M2516" t="s">
        <v>21</v>
      </c>
    </row>
    <row r="2517" spans="1:13" x14ac:dyDescent="0.35">
      <c r="A2517" t="str">
        <f>"634-1426"</f>
        <v>634-1426</v>
      </c>
      <c r="B2517" t="s">
        <v>9126</v>
      </c>
      <c r="C2517" t="str">
        <f>"6614"</f>
        <v>6614</v>
      </c>
      <c r="E2517" t="s">
        <v>781</v>
      </c>
      <c r="F2517" t="s">
        <v>24</v>
      </c>
      <c r="G2517" t="s">
        <v>2708</v>
      </c>
      <c r="H2517" t="s">
        <v>17</v>
      </c>
      <c r="I2517" t="s">
        <v>18</v>
      </c>
      <c r="J2517" t="str">
        <f>"4383411086"</f>
        <v>4383411086</v>
      </c>
      <c r="K2517" t="s">
        <v>9127</v>
      </c>
      <c r="L2517" t="s">
        <v>396</v>
      </c>
      <c r="M2517" t="s">
        <v>21</v>
      </c>
    </row>
    <row r="2518" spans="1:13" x14ac:dyDescent="0.35">
      <c r="A2518" t="str">
        <f>"634-1354"</f>
        <v>634-1354</v>
      </c>
      <c r="B2518" t="s">
        <v>9128</v>
      </c>
      <c r="C2518" t="str">
        <f>"4042"</f>
        <v>4042</v>
      </c>
      <c r="E2518" t="s">
        <v>9129</v>
      </c>
      <c r="F2518" t="s">
        <v>24</v>
      </c>
      <c r="G2518" t="s">
        <v>9130</v>
      </c>
      <c r="H2518" t="s">
        <v>17</v>
      </c>
      <c r="I2518" t="s">
        <v>18</v>
      </c>
      <c r="J2518" t="str">
        <f>"5794212691"</f>
        <v>5794212691</v>
      </c>
      <c r="K2518" t="s">
        <v>9131</v>
      </c>
      <c r="L2518" t="s">
        <v>313</v>
      </c>
      <c r="M2518" t="s">
        <v>21</v>
      </c>
    </row>
    <row r="2519" spans="1:13" x14ac:dyDescent="0.35">
      <c r="A2519" t="str">
        <f>"634-1429"</f>
        <v>634-1429</v>
      </c>
      <c r="B2519" t="s">
        <v>9132</v>
      </c>
      <c r="C2519" t="str">
        <f>"7159"</f>
        <v>7159</v>
      </c>
      <c r="E2519" t="s">
        <v>3797</v>
      </c>
      <c r="F2519" t="s">
        <v>24</v>
      </c>
      <c r="G2519" t="s">
        <v>6208</v>
      </c>
      <c r="H2519" t="s">
        <v>17</v>
      </c>
      <c r="I2519" t="s">
        <v>18</v>
      </c>
      <c r="J2519" t="str">
        <f>"8193143867"</f>
        <v>8193143867</v>
      </c>
      <c r="K2519" t="s">
        <v>9133</v>
      </c>
      <c r="L2519" t="s">
        <v>4470</v>
      </c>
      <c r="M2519" t="s">
        <v>21</v>
      </c>
    </row>
    <row r="2520" spans="1:13" x14ac:dyDescent="0.35">
      <c r="A2520" t="str">
        <f>"177-6339"</f>
        <v>177-6339</v>
      </c>
      <c r="B2520" t="s">
        <v>9135</v>
      </c>
      <c r="C2520" t="str">
        <f>"3041"</f>
        <v>3041</v>
      </c>
      <c r="E2520" t="s">
        <v>9136</v>
      </c>
      <c r="F2520" t="s">
        <v>24</v>
      </c>
      <c r="G2520" t="s">
        <v>9137</v>
      </c>
      <c r="H2520" t="s">
        <v>17</v>
      </c>
      <c r="I2520" t="s">
        <v>18</v>
      </c>
      <c r="J2520" t="str">
        <f>"5147910002"</f>
        <v>5147910002</v>
      </c>
      <c r="K2520" t="s">
        <v>9138</v>
      </c>
      <c r="L2520" t="s">
        <v>86</v>
      </c>
      <c r="M2520" t="s">
        <v>21</v>
      </c>
    </row>
    <row r="2521" spans="1:13" x14ac:dyDescent="0.35">
      <c r="A2521" t="str">
        <f>"218-2040"</f>
        <v>218-2040</v>
      </c>
      <c r="B2521" t="s">
        <v>9139</v>
      </c>
      <c r="C2521" t="str">
        <f>"9018"</f>
        <v>9018</v>
      </c>
      <c r="E2521" t="s">
        <v>2129</v>
      </c>
      <c r="F2521" t="s">
        <v>24</v>
      </c>
      <c r="G2521" t="s">
        <v>9140</v>
      </c>
      <c r="H2521" t="s">
        <v>17</v>
      </c>
      <c r="I2521" t="s">
        <v>18</v>
      </c>
      <c r="J2521" t="str">
        <f>"4383955161"</f>
        <v>4383955161</v>
      </c>
      <c r="K2521" t="s">
        <v>9141</v>
      </c>
      <c r="L2521" t="s">
        <v>396</v>
      </c>
      <c r="M2521" t="s">
        <v>21</v>
      </c>
    </row>
    <row r="2522" spans="1:13" x14ac:dyDescent="0.35">
      <c r="A2522" t="str">
        <f>"218-5913"</f>
        <v>218-5913</v>
      </c>
      <c r="B2522" t="s">
        <v>9142</v>
      </c>
      <c r="C2522" t="str">
        <f>"526"</f>
        <v>526</v>
      </c>
      <c r="E2522" t="s">
        <v>9143</v>
      </c>
      <c r="F2522" t="s">
        <v>32</v>
      </c>
      <c r="G2522" t="s">
        <v>9144</v>
      </c>
      <c r="H2522" t="s">
        <v>17</v>
      </c>
      <c r="I2522" t="s">
        <v>18</v>
      </c>
      <c r="J2522" t="str">
        <f>"4505419461"</f>
        <v>4505419461</v>
      </c>
      <c r="K2522" t="s">
        <v>9145</v>
      </c>
      <c r="L2522" t="s">
        <v>220</v>
      </c>
      <c r="M2522" t="s">
        <v>21</v>
      </c>
    </row>
    <row r="2523" spans="1:13" x14ac:dyDescent="0.35">
      <c r="A2523" t="str">
        <f>"248-7109"</f>
        <v>248-7109</v>
      </c>
      <c r="B2523" t="s">
        <v>9146</v>
      </c>
      <c r="C2523" t="str">
        <f>"5728"</f>
        <v>5728</v>
      </c>
      <c r="E2523" t="s">
        <v>67</v>
      </c>
      <c r="F2523" t="s">
        <v>24</v>
      </c>
      <c r="G2523" t="s">
        <v>6000</v>
      </c>
      <c r="H2523" t="s">
        <v>17</v>
      </c>
      <c r="I2523" t="s">
        <v>18</v>
      </c>
      <c r="J2523" t="str">
        <f>"4387259900"</f>
        <v>4387259900</v>
      </c>
      <c r="K2523" t="s">
        <v>9147</v>
      </c>
      <c r="L2523" t="s">
        <v>207</v>
      </c>
      <c r="M2523" t="s">
        <v>21</v>
      </c>
    </row>
    <row r="2524" spans="1:13" x14ac:dyDescent="0.35">
      <c r="A2524" t="str">
        <f>"248-7267"</f>
        <v>248-7267</v>
      </c>
      <c r="B2524" t="s">
        <v>9148</v>
      </c>
      <c r="C2524" t="str">
        <f>"109"</f>
        <v>109</v>
      </c>
      <c r="E2524" t="s">
        <v>9149</v>
      </c>
      <c r="F2524" t="s">
        <v>1175</v>
      </c>
      <c r="G2524" t="s">
        <v>9150</v>
      </c>
      <c r="H2524" t="s">
        <v>17</v>
      </c>
      <c r="I2524" t="s">
        <v>18</v>
      </c>
      <c r="J2524" t="str">
        <f>"5148065489"</f>
        <v>5148065489</v>
      </c>
      <c r="K2524" t="s">
        <v>9151</v>
      </c>
      <c r="L2524" t="s">
        <v>76</v>
      </c>
      <c r="M2524" t="s">
        <v>21</v>
      </c>
    </row>
    <row r="2525" spans="1:13" x14ac:dyDescent="0.35">
      <c r="A2525" t="str">
        <f>"248-7809"</f>
        <v>248-7809</v>
      </c>
      <c r="B2525" t="s">
        <v>9152</v>
      </c>
      <c r="C2525" t="str">
        <f>"8650"</f>
        <v>8650</v>
      </c>
      <c r="D2525" t="str">
        <f>"3"</f>
        <v>3</v>
      </c>
      <c r="E2525" t="s">
        <v>830</v>
      </c>
      <c r="F2525" t="s">
        <v>24</v>
      </c>
      <c r="G2525" t="s">
        <v>9153</v>
      </c>
      <c r="H2525" t="s">
        <v>17</v>
      </c>
      <c r="I2525" t="s">
        <v>18</v>
      </c>
      <c r="J2525" t="str">
        <f>"5149196856"</f>
        <v>5149196856</v>
      </c>
      <c r="K2525" t="s">
        <v>9154</v>
      </c>
      <c r="L2525" t="s">
        <v>86</v>
      </c>
      <c r="M2525" t="s">
        <v>21</v>
      </c>
    </row>
    <row r="2526" spans="1:13" x14ac:dyDescent="0.35">
      <c r="A2526" t="str">
        <f>"248-8396"</f>
        <v>248-8396</v>
      </c>
      <c r="B2526" t="s">
        <v>9155</v>
      </c>
      <c r="C2526" t="str">
        <f>"680"</f>
        <v>680</v>
      </c>
      <c r="E2526" t="s">
        <v>9156</v>
      </c>
      <c r="F2526" t="s">
        <v>54</v>
      </c>
      <c r="G2526" t="s">
        <v>9157</v>
      </c>
      <c r="H2526" t="s">
        <v>17</v>
      </c>
      <c r="I2526" t="s">
        <v>18</v>
      </c>
      <c r="J2526" t="str">
        <f>"5144661903"</f>
        <v>5144661903</v>
      </c>
      <c r="K2526" t="s">
        <v>9158</v>
      </c>
      <c r="L2526" t="s">
        <v>86</v>
      </c>
      <c r="M2526" t="s">
        <v>21</v>
      </c>
    </row>
    <row r="2527" spans="1:13" x14ac:dyDescent="0.35">
      <c r="A2527" t="str">
        <f>"249-2739"</f>
        <v>249-2739</v>
      </c>
      <c r="B2527" t="s">
        <v>9159</v>
      </c>
      <c r="C2527" t="str">
        <f>"9136"</f>
        <v>9136</v>
      </c>
      <c r="E2527" t="s">
        <v>4539</v>
      </c>
      <c r="F2527" t="s">
        <v>24</v>
      </c>
      <c r="G2527" t="s">
        <v>9160</v>
      </c>
      <c r="H2527" t="s">
        <v>17</v>
      </c>
      <c r="I2527" t="s">
        <v>18</v>
      </c>
      <c r="J2527" t="str">
        <f>"4389698251"</f>
        <v>4389698251</v>
      </c>
      <c r="K2527" t="s">
        <v>9161</v>
      </c>
      <c r="L2527" t="s">
        <v>396</v>
      </c>
      <c r="M2527" t="s">
        <v>21</v>
      </c>
    </row>
    <row r="2528" spans="1:13" x14ac:dyDescent="0.35">
      <c r="A2528" t="str">
        <f>"249-3652"</f>
        <v>249-3652</v>
      </c>
      <c r="B2528" t="s">
        <v>9162</v>
      </c>
      <c r="C2528" t="str">
        <f>"4625"</f>
        <v>4625</v>
      </c>
      <c r="D2528" t="str">
        <f>"1"</f>
        <v>1</v>
      </c>
      <c r="E2528" t="s">
        <v>1557</v>
      </c>
      <c r="F2528" t="s">
        <v>24</v>
      </c>
      <c r="G2528" t="s">
        <v>9163</v>
      </c>
      <c r="H2528" t="s">
        <v>17</v>
      </c>
      <c r="I2528" t="s">
        <v>18</v>
      </c>
      <c r="J2528" t="str">
        <f>"5142090331"</f>
        <v>5142090331</v>
      </c>
      <c r="K2528" t="s">
        <v>9164</v>
      </c>
      <c r="L2528" t="s">
        <v>86</v>
      </c>
      <c r="M2528" t="s">
        <v>21</v>
      </c>
    </row>
    <row r="2529" spans="1:13" x14ac:dyDescent="0.35">
      <c r="A2529" t="str">
        <f>"249-3721"</f>
        <v>249-3721</v>
      </c>
      <c r="B2529" t="s">
        <v>9165</v>
      </c>
      <c r="C2529" t="str">
        <f>"6650"</f>
        <v>6650</v>
      </c>
      <c r="D2529" t="str">
        <f>"201"</f>
        <v>201</v>
      </c>
      <c r="E2529" t="s">
        <v>67</v>
      </c>
      <c r="F2529" t="s">
        <v>24</v>
      </c>
      <c r="G2529" t="s">
        <v>9166</v>
      </c>
      <c r="H2529" t="s">
        <v>17</v>
      </c>
      <c r="I2529" t="s">
        <v>18</v>
      </c>
      <c r="J2529" t="str">
        <f>"4389239883"</f>
        <v>4389239883</v>
      </c>
      <c r="K2529" t="s">
        <v>9167</v>
      </c>
      <c r="L2529" t="s">
        <v>29</v>
      </c>
      <c r="M2529" t="s">
        <v>21</v>
      </c>
    </row>
    <row r="2530" spans="1:13" x14ac:dyDescent="0.35">
      <c r="A2530" t="str">
        <f>"195-5719"</f>
        <v>195-5719</v>
      </c>
      <c r="B2530" t="s">
        <v>9168</v>
      </c>
      <c r="C2530" t="str">
        <f>"5"</f>
        <v>5</v>
      </c>
      <c r="E2530" t="s">
        <v>9169</v>
      </c>
      <c r="F2530" t="s">
        <v>3099</v>
      </c>
      <c r="G2530" t="s">
        <v>9170</v>
      </c>
      <c r="H2530" t="s">
        <v>17</v>
      </c>
      <c r="I2530" t="s">
        <v>18</v>
      </c>
      <c r="J2530" t="str">
        <f>"8192165670"</f>
        <v>8192165670</v>
      </c>
      <c r="K2530" t="s">
        <v>9171</v>
      </c>
      <c r="L2530" t="s">
        <v>39</v>
      </c>
      <c r="M2530" t="s">
        <v>21</v>
      </c>
    </row>
    <row r="2531" spans="1:13" x14ac:dyDescent="0.35">
      <c r="A2531" t="str">
        <f>"213-6478"</f>
        <v>213-6478</v>
      </c>
      <c r="B2531" t="s">
        <v>9172</v>
      </c>
      <c r="C2531" t="str">
        <f>"2273"</f>
        <v>2273</v>
      </c>
      <c r="E2531" t="s">
        <v>8985</v>
      </c>
      <c r="F2531" t="s">
        <v>24</v>
      </c>
      <c r="G2531" t="s">
        <v>8986</v>
      </c>
      <c r="H2531" t="s">
        <v>17</v>
      </c>
      <c r="I2531" t="s">
        <v>18</v>
      </c>
      <c r="J2531" t="str">
        <f>"4389690890"</f>
        <v>4389690890</v>
      </c>
      <c r="K2531" t="s">
        <v>9173</v>
      </c>
      <c r="L2531" t="s">
        <v>76</v>
      </c>
      <c r="M2531" t="s">
        <v>21</v>
      </c>
    </row>
    <row r="2532" spans="1:13" x14ac:dyDescent="0.35">
      <c r="A2532" t="str">
        <f>"630-9248"</f>
        <v>630-9248</v>
      </c>
      <c r="B2532" t="s">
        <v>9174</v>
      </c>
      <c r="C2532" t="str">
        <f>"5885"</f>
        <v>5885</v>
      </c>
      <c r="E2532" t="s">
        <v>6401</v>
      </c>
      <c r="F2532" t="s">
        <v>24</v>
      </c>
      <c r="G2532" t="s">
        <v>9175</v>
      </c>
      <c r="H2532" t="s">
        <v>17</v>
      </c>
      <c r="I2532" t="s">
        <v>18</v>
      </c>
      <c r="J2532" t="str">
        <f>"4389947773"</f>
        <v>4389947773</v>
      </c>
      <c r="K2532" t="s">
        <v>9176</v>
      </c>
      <c r="L2532" t="s">
        <v>396</v>
      </c>
      <c r="M2532" t="s">
        <v>21</v>
      </c>
    </row>
    <row r="2533" spans="1:13" x14ac:dyDescent="0.35">
      <c r="A2533" t="str">
        <f>"631-4230"</f>
        <v>631-4230</v>
      </c>
      <c r="B2533" t="s">
        <v>9177</v>
      </c>
      <c r="C2533" t="str">
        <f>"2660"</f>
        <v>2660</v>
      </c>
      <c r="D2533" t="str">
        <f>"1"</f>
        <v>1</v>
      </c>
      <c r="E2533" t="s">
        <v>581</v>
      </c>
      <c r="F2533" t="s">
        <v>24</v>
      </c>
      <c r="G2533" t="s">
        <v>9178</v>
      </c>
      <c r="H2533" t="s">
        <v>17</v>
      </c>
      <c r="I2533" t="s">
        <v>18</v>
      </c>
      <c r="J2533" t="str">
        <f>"5144028219"</f>
        <v>5144028219</v>
      </c>
      <c r="K2533" t="s">
        <v>9179</v>
      </c>
      <c r="L2533" t="s">
        <v>220</v>
      </c>
      <c r="M2533" t="s">
        <v>21</v>
      </c>
    </row>
    <row r="2534" spans="1:13" x14ac:dyDescent="0.35">
      <c r="A2534" t="str">
        <f>"631-6232"</f>
        <v>631-6232</v>
      </c>
      <c r="B2534" t="s">
        <v>9180</v>
      </c>
      <c r="C2534" t="str">
        <f>"8440"</f>
        <v>8440</v>
      </c>
      <c r="E2534" t="s">
        <v>4911</v>
      </c>
      <c r="F2534" t="s">
        <v>24</v>
      </c>
      <c r="G2534" t="s">
        <v>8793</v>
      </c>
      <c r="H2534" t="s">
        <v>17</v>
      </c>
      <c r="I2534" t="s">
        <v>18</v>
      </c>
      <c r="J2534" t="str">
        <f>"5142377156"</f>
        <v>5142377156</v>
      </c>
      <c r="K2534" t="s">
        <v>9181</v>
      </c>
      <c r="L2534" t="s">
        <v>869</v>
      </c>
      <c r="M2534" t="s">
        <v>21</v>
      </c>
    </row>
    <row r="2535" spans="1:13" x14ac:dyDescent="0.35">
      <c r="A2535" t="str">
        <f>"623-8328"</f>
        <v>623-8328</v>
      </c>
      <c r="B2535" t="s">
        <v>9182</v>
      </c>
      <c r="C2535" t="str">
        <f>"8637"</f>
        <v>8637</v>
      </c>
      <c r="D2535" t="str">
        <f>"8637"</f>
        <v>8637</v>
      </c>
      <c r="E2535" t="s">
        <v>7940</v>
      </c>
      <c r="F2535" t="s">
        <v>24</v>
      </c>
      <c r="G2535" t="s">
        <v>7941</v>
      </c>
      <c r="H2535" t="s">
        <v>17</v>
      </c>
      <c r="I2535" t="s">
        <v>18</v>
      </c>
      <c r="J2535" t="str">
        <f>"5148255823"</f>
        <v>5148255823</v>
      </c>
      <c r="K2535" t="s">
        <v>9183</v>
      </c>
      <c r="L2535" t="s">
        <v>168</v>
      </c>
      <c r="M2535" t="s">
        <v>21</v>
      </c>
    </row>
    <row r="2536" spans="1:13" x14ac:dyDescent="0.35">
      <c r="A2536" t="str">
        <f>"184-8694"</f>
        <v>184-8694</v>
      </c>
      <c r="B2536" t="s">
        <v>9184</v>
      </c>
      <c r="C2536" t="str">
        <f>"4905"</f>
        <v>4905</v>
      </c>
      <c r="E2536" t="s">
        <v>9185</v>
      </c>
      <c r="F2536" t="s">
        <v>24</v>
      </c>
      <c r="G2536" t="s">
        <v>9186</v>
      </c>
      <c r="H2536" t="s">
        <v>17</v>
      </c>
      <c r="I2536" t="s">
        <v>18</v>
      </c>
      <c r="J2536" t="str">
        <f>"5149625964"</f>
        <v>5149625964</v>
      </c>
      <c r="K2536" t="s">
        <v>9187</v>
      </c>
      <c r="L2536" t="s">
        <v>86</v>
      </c>
      <c r="M2536" t="s">
        <v>21</v>
      </c>
    </row>
    <row r="2537" spans="1:13" x14ac:dyDescent="0.35">
      <c r="A2537" t="str">
        <f>"625-0351"</f>
        <v>625-0351</v>
      </c>
      <c r="B2537" t="s">
        <v>9188</v>
      </c>
      <c r="C2537" t="str">
        <f>"5460"</f>
        <v>5460</v>
      </c>
      <c r="E2537" t="s">
        <v>125</v>
      </c>
      <c r="F2537" t="s">
        <v>24</v>
      </c>
      <c r="G2537" t="s">
        <v>9189</v>
      </c>
      <c r="H2537" t="s">
        <v>17</v>
      </c>
      <c r="I2537" t="s">
        <v>18</v>
      </c>
      <c r="J2537" t="str">
        <f>"5142619206"</f>
        <v>5142619206</v>
      </c>
      <c r="K2537" t="s">
        <v>9190</v>
      </c>
      <c r="L2537" t="s">
        <v>29</v>
      </c>
      <c r="M2537" t="s">
        <v>21</v>
      </c>
    </row>
    <row r="2538" spans="1:13" x14ac:dyDescent="0.35">
      <c r="A2538" t="str">
        <f>"629-5508"</f>
        <v>629-5508</v>
      </c>
      <c r="B2538" t="s">
        <v>9191</v>
      </c>
      <c r="C2538" t="str">
        <f>"5654"</f>
        <v>5654</v>
      </c>
      <c r="E2538" t="s">
        <v>9192</v>
      </c>
      <c r="F2538" t="s">
        <v>24</v>
      </c>
      <c r="G2538" t="s">
        <v>9193</v>
      </c>
      <c r="H2538" t="s">
        <v>17</v>
      </c>
      <c r="I2538" t="s">
        <v>18</v>
      </c>
      <c r="J2538" t="str">
        <f>"4389897105"</f>
        <v>4389897105</v>
      </c>
      <c r="K2538" t="s">
        <v>9194</v>
      </c>
      <c r="L2538" t="s">
        <v>396</v>
      </c>
      <c r="M2538" t="s">
        <v>21</v>
      </c>
    </row>
    <row r="2539" spans="1:13" x14ac:dyDescent="0.35">
      <c r="A2539" t="str">
        <f>"629-6043"</f>
        <v>629-6043</v>
      </c>
      <c r="B2539" t="s">
        <v>9195</v>
      </c>
      <c r="C2539" t="str">
        <f>"7120"</f>
        <v>7120</v>
      </c>
      <c r="E2539" t="s">
        <v>9196</v>
      </c>
      <c r="F2539" t="s">
        <v>40</v>
      </c>
      <c r="G2539" t="s">
        <v>9197</v>
      </c>
      <c r="H2539" t="s">
        <v>17</v>
      </c>
      <c r="I2539" t="s">
        <v>18</v>
      </c>
      <c r="J2539" t="str">
        <f>"5142350070"</f>
        <v>5142350070</v>
      </c>
      <c r="K2539" t="s">
        <v>9198</v>
      </c>
      <c r="L2539" t="s">
        <v>396</v>
      </c>
      <c r="M2539" t="s">
        <v>21</v>
      </c>
    </row>
    <row r="2540" spans="1:13" x14ac:dyDescent="0.35">
      <c r="A2540" t="str">
        <f>"629-6252"</f>
        <v>629-6252</v>
      </c>
      <c r="B2540" t="s">
        <v>9199</v>
      </c>
      <c r="C2540" t="str">
        <f>"8902"</f>
        <v>8902</v>
      </c>
      <c r="E2540" t="s">
        <v>9200</v>
      </c>
      <c r="F2540" t="s">
        <v>24</v>
      </c>
      <c r="G2540" t="s">
        <v>6112</v>
      </c>
      <c r="H2540" t="s">
        <v>17</v>
      </c>
      <c r="I2540" t="s">
        <v>18</v>
      </c>
      <c r="J2540" t="str">
        <f>"4383545443"</f>
        <v>4383545443</v>
      </c>
      <c r="K2540" t="s">
        <v>9201</v>
      </c>
      <c r="L2540" t="s">
        <v>86</v>
      </c>
      <c r="M2540" t="s">
        <v>21</v>
      </c>
    </row>
    <row r="2541" spans="1:13" x14ac:dyDescent="0.35">
      <c r="A2541" t="str">
        <f>"629-6998"</f>
        <v>629-6998</v>
      </c>
      <c r="B2541" t="s">
        <v>9202</v>
      </c>
      <c r="C2541" t="str">
        <f>"430"</f>
        <v>430</v>
      </c>
      <c r="E2541" t="s">
        <v>9203</v>
      </c>
      <c r="F2541" t="s">
        <v>143</v>
      </c>
      <c r="G2541" t="s">
        <v>9204</v>
      </c>
      <c r="H2541" t="s">
        <v>17</v>
      </c>
      <c r="I2541" t="s">
        <v>18</v>
      </c>
      <c r="J2541" t="str">
        <f>"5793687617"</f>
        <v>5793687617</v>
      </c>
      <c r="K2541" t="s">
        <v>9205</v>
      </c>
      <c r="L2541" t="s">
        <v>350</v>
      </c>
      <c r="M2541" t="s">
        <v>21</v>
      </c>
    </row>
    <row r="2542" spans="1:13" x14ac:dyDescent="0.35">
      <c r="A2542" t="str">
        <f>"629-7149"</f>
        <v>629-7149</v>
      </c>
      <c r="B2542" t="s">
        <v>9206</v>
      </c>
      <c r="C2542" t="str">
        <f>"9240"</f>
        <v>9240</v>
      </c>
      <c r="E2542" t="s">
        <v>9207</v>
      </c>
      <c r="F2542" t="s">
        <v>656</v>
      </c>
      <c r="G2542" t="s">
        <v>4326</v>
      </c>
      <c r="H2542" t="s">
        <v>17</v>
      </c>
      <c r="I2542" t="s">
        <v>18</v>
      </c>
      <c r="J2542" t="str">
        <f>"5144098496"</f>
        <v>5144098496</v>
      </c>
      <c r="K2542" t="s">
        <v>9208</v>
      </c>
      <c r="L2542" t="s">
        <v>466</v>
      </c>
      <c r="M2542" t="s">
        <v>21</v>
      </c>
    </row>
    <row r="2543" spans="1:13" x14ac:dyDescent="0.35">
      <c r="A2543" t="str">
        <f>"630-1575"</f>
        <v>630-1575</v>
      </c>
      <c r="B2543" t="s">
        <v>9209</v>
      </c>
      <c r="C2543" t="str">
        <f>"3075"</f>
        <v>3075</v>
      </c>
      <c r="E2543" t="s">
        <v>1479</v>
      </c>
      <c r="F2543" t="s">
        <v>40</v>
      </c>
      <c r="G2543" t="s">
        <v>1747</v>
      </c>
      <c r="H2543" t="s">
        <v>17</v>
      </c>
      <c r="I2543" t="s">
        <v>18</v>
      </c>
      <c r="J2543" t="str">
        <f>"4384076452"</f>
        <v>4384076452</v>
      </c>
      <c r="K2543" t="s">
        <v>9210</v>
      </c>
      <c r="L2543" t="s">
        <v>86</v>
      </c>
      <c r="M2543" t="s">
        <v>21</v>
      </c>
    </row>
    <row r="2544" spans="1:13" x14ac:dyDescent="0.35">
      <c r="A2544" t="str">
        <f>"630-1691"</f>
        <v>630-1691</v>
      </c>
      <c r="B2544" t="s">
        <v>9211</v>
      </c>
      <c r="C2544" t="str">
        <f>"4227"</f>
        <v>4227</v>
      </c>
      <c r="D2544" t="str">
        <f>"2"</f>
        <v>2</v>
      </c>
      <c r="E2544" t="s">
        <v>9212</v>
      </c>
      <c r="F2544" t="s">
        <v>24</v>
      </c>
      <c r="G2544" t="s">
        <v>9213</v>
      </c>
      <c r="H2544" t="s">
        <v>17</v>
      </c>
      <c r="I2544" t="s">
        <v>18</v>
      </c>
      <c r="J2544" t="str">
        <f>"5145861088"</f>
        <v>5145861088</v>
      </c>
      <c r="K2544" t="s">
        <v>9214</v>
      </c>
      <c r="L2544" t="s">
        <v>88</v>
      </c>
      <c r="M2544" t="s">
        <v>21</v>
      </c>
    </row>
    <row r="2545" spans="1:13" x14ac:dyDescent="0.35">
      <c r="A2545" t="str">
        <f>"630-2026"</f>
        <v>630-2026</v>
      </c>
      <c r="B2545" t="s">
        <v>9215</v>
      </c>
      <c r="C2545" t="str">
        <f>"1325"</f>
        <v>1325</v>
      </c>
      <c r="E2545" t="s">
        <v>4467</v>
      </c>
      <c r="F2545" t="s">
        <v>32</v>
      </c>
      <c r="G2545" t="s">
        <v>7275</v>
      </c>
      <c r="H2545" t="s">
        <v>17</v>
      </c>
      <c r="I2545" t="s">
        <v>18</v>
      </c>
      <c r="J2545" t="str">
        <f>"5149671264"</f>
        <v>5149671264</v>
      </c>
      <c r="K2545" t="s">
        <v>9216</v>
      </c>
      <c r="L2545" t="s">
        <v>76</v>
      </c>
      <c r="M2545" t="s">
        <v>21</v>
      </c>
    </row>
    <row r="2546" spans="1:13" x14ac:dyDescent="0.35">
      <c r="A2546" t="str">
        <f>"630-2399"</f>
        <v>630-2399</v>
      </c>
      <c r="B2546" t="s">
        <v>9217</v>
      </c>
      <c r="C2546" t="str">
        <f>"5085"</f>
        <v>5085</v>
      </c>
      <c r="E2546" t="s">
        <v>213</v>
      </c>
      <c r="F2546" t="s">
        <v>24</v>
      </c>
      <c r="G2546" t="s">
        <v>9218</v>
      </c>
      <c r="H2546" t="s">
        <v>17</v>
      </c>
      <c r="I2546" t="s">
        <v>18</v>
      </c>
      <c r="J2546" t="str">
        <f>"5148366055"</f>
        <v>5148366055</v>
      </c>
      <c r="K2546" t="s">
        <v>9219</v>
      </c>
      <c r="L2546" t="s">
        <v>76</v>
      </c>
      <c r="M2546" t="s">
        <v>21</v>
      </c>
    </row>
    <row r="2547" spans="1:13" x14ac:dyDescent="0.35">
      <c r="A2547" t="str">
        <f>"630-2424"</f>
        <v>630-2424</v>
      </c>
      <c r="B2547" t="s">
        <v>9220</v>
      </c>
      <c r="C2547" t="str">
        <f>"8408"</f>
        <v>8408</v>
      </c>
      <c r="E2547" t="s">
        <v>7237</v>
      </c>
      <c r="F2547" t="s">
        <v>24</v>
      </c>
      <c r="G2547" t="s">
        <v>7238</v>
      </c>
      <c r="H2547" t="s">
        <v>17</v>
      </c>
      <c r="I2547" t="s">
        <v>18</v>
      </c>
      <c r="J2547" t="str">
        <f>"4389902388"</f>
        <v>4389902388</v>
      </c>
      <c r="K2547" t="s">
        <v>9221</v>
      </c>
      <c r="L2547" t="s">
        <v>396</v>
      </c>
      <c r="M2547" t="s">
        <v>21</v>
      </c>
    </row>
    <row r="2548" spans="1:13" x14ac:dyDescent="0.35">
      <c r="A2548" t="str">
        <f>"632-2647"</f>
        <v>632-2647</v>
      </c>
      <c r="B2548" t="s">
        <v>9222</v>
      </c>
      <c r="C2548" t="str">
        <f>"303"</f>
        <v>303</v>
      </c>
      <c r="D2548" t="str">
        <f>"208"</f>
        <v>208</v>
      </c>
      <c r="E2548" t="s">
        <v>9134</v>
      </c>
      <c r="F2548" t="s">
        <v>24</v>
      </c>
      <c r="G2548" t="s">
        <v>9223</v>
      </c>
      <c r="H2548" t="s">
        <v>17</v>
      </c>
      <c r="I2548" t="s">
        <v>18</v>
      </c>
      <c r="J2548" t="str">
        <f>"4389786382"</f>
        <v>4389786382</v>
      </c>
      <c r="K2548" t="s">
        <v>9224</v>
      </c>
      <c r="L2548" t="s">
        <v>88</v>
      </c>
      <c r="M2548" t="s">
        <v>21</v>
      </c>
    </row>
    <row r="2549" spans="1:13" x14ac:dyDescent="0.35">
      <c r="A2549" t="str">
        <f>"632-4009"</f>
        <v>632-4009</v>
      </c>
      <c r="B2549" t="s">
        <v>9225</v>
      </c>
      <c r="C2549" t="str">
        <f>"5881"</f>
        <v>5881</v>
      </c>
      <c r="E2549" t="s">
        <v>3200</v>
      </c>
      <c r="F2549" t="s">
        <v>40</v>
      </c>
      <c r="G2549" t="s">
        <v>9226</v>
      </c>
      <c r="H2549" t="s">
        <v>17</v>
      </c>
      <c r="I2549" t="s">
        <v>18</v>
      </c>
      <c r="J2549" t="str">
        <f>"5146070036"</f>
        <v>5146070036</v>
      </c>
      <c r="K2549" t="s">
        <v>9227</v>
      </c>
      <c r="L2549" t="s">
        <v>869</v>
      </c>
      <c r="M2549" t="s">
        <v>21</v>
      </c>
    </row>
    <row r="2550" spans="1:13" x14ac:dyDescent="0.35">
      <c r="A2550" t="str">
        <f>"632-7851"</f>
        <v>632-7851</v>
      </c>
      <c r="B2550" t="s">
        <v>9228</v>
      </c>
      <c r="C2550" t="str">
        <f>"196"</f>
        <v>196</v>
      </c>
      <c r="E2550" t="s">
        <v>3757</v>
      </c>
      <c r="F2550" t="s">
        <v>32</v>
      </c>
      <c r="G2550" t="s">
        <v>9229</v>
      </c>
      <c r="H2550" t="s">
        <v>17</v>
      </c>
      <c r="I2550" t="s">
        <v>18</v>
      </c>
      <c r="J2550" t="str">
        <f>"5148920720"</f>
        <v>5148920720</v>
      </c>
      <c r="K2550" t="s">
        <v>9230</v>
      </c>
      <c r="L2550" t="s">
        <v>76</v>
      </c>
      <c r="M2550" t="s">
        <v>21</v>
      </c>
    </row>
    <row r="2551" spans="1:13" x14ac:dyDescent="0.35">
      <c r="A2551" t="str">
        <f>"632-7936"</f>
        <v>632-7936</v>
      </c>
      <c r="B2551" t="s">
        <v>9231</v>
      </c>
      <c r="C2551" t="str">
        <f>"7594"</f>
        <v>7594</v>
      </c>
      <c r="E2551" t="s">
        <v>9232</v>
      </c>
      <c r="F2551" t="s">
        <v>24</v>
      </c>
      <c r="G2551" t="s">
        <v>9233</v>
      </c>
      <c r="H2551" t="s">
        <v>17</v>
      </c>
      <c r="I2551" t="s">
        <v>18</v>
      </c>
      <c r="J2551" t="str">
        <f>"4384085420"</f>
        <v>4384085420</v>
      </c>
      <c r="K2551" t="s">
        <v>9234</v>
      </c>
      <c r="L2551" t="s">
        <v>396</v>
      </c>
      <c r="M2551" t="s">
        <v>21</v>
      </c>
    </row>
    <row r="2552" spans="1:13" x14ac:dyDescent="0.35">
      <c r="A2552" t="str">
        <f>"154-3084"</f>
        <v>154-3084</v>
      </c>
      <c r="B2552" t="s">
        <v>9235</v>
      </c>
      <c r="C2552" t="str">
        <f>"6573"</f>
        <v>6573</v>
      </c>
      <c r="D2552" t="str">
        <f>"A"</f>
        <v>A</v>
      </c>
      <c r="E2552" t="s">
        <v>9236</v>
      </c>
      <c r="F2552" t="s">
        <v>24</v>
      </c>
      <c r="G2552" t="s">
        <v>9237</v>
      </c>
      <c r="H2552" t="s">
        <v>17</v>
      </c>
      <c r="I2552" t="s">
        <v>18</v>
      </c>
      <c r="J2552" t="str">
        <f>"4387654371"</f>
        <v>4387654371</v>
      </c>
      <c r="K2552" t="s">
        <v>9238</v>
      </c>
      <c r="L2552" t="s">
        <v>27</v>
      </c>
      <c r="M2552" t="s">
        <v>21</v>
      </c>
    </row>
    <row r="2553" spans="1:13" x14ac:dyDescent="0.35">
      <c r="A2553" t="str">
        <f>"157-3605"</f>
        <v>157-3605</v>
      </c>
      <c r="B2553" t="s">
        <v>9239</v>
      </c>
      <c r="C2553" t="str">
        <f>"6389"</f>
        <v>6389</v>
      </c>
      <c r="E2553" t="s">
        <v>3184</v>
      </c>
      <c r="F2553" t="s">
        <v>24</v>
      </c>
      <c r="G2553" t="s">
        <v>9240</v>
      </c>
      <c r="H2553" t="s">
        <v>17</v>
      </c>
      <c r="I2553" t="s">
        <v>18</v>
      </c>
      <c r="J2553" t="str">
        <f>"5146320247"</f>
        <v>5146320247</v>
      </c>
      <c r="K2553" t="s">
        <v>9241</v>
      </c>
      <c r="L2553" t="s">
        <v>76</v>
      </c>
      <c r="M2553" t="s">
        <v>21</v>
      </c>
    </row>
    <row r="2554" spans="1:13" x14ac:dyDescent="0.35">
      <c r="A2554" t="str">
        <f>"187-6132"</f>
        <v>187-6132</v>
      </c>
      <c r="B2554" t="s">
        <v>9242</v>
      </c>
      <c r="C2554" t="str">
        <f>"6265A"</f>
        <v>6265A</v>
      </c>
      <c r="E2554" t="s">
        <v>260</v>
      </c>
      <c r="F2554" t="s">
        <v>24</v>
      </c>
      <c r="G2554" t="s">
        <v>2063</v>
      </c>
      <c r="H2554" t="s">
        <v>17</v>
      </c>
      <c r="I2554" t="s">
        <v>18</v>
      </c>
      <c r="J2554" t="str">
        <f>"4389791340"</f>
        <v>4389791340</v>
      </c>
      <c r="K2554" t="s">
        <v>9243</v>
      </c>
      <c r="L2554" t="s">
        <v>193</v>
      </c>
      <c r="M2554" t="s">
        <v>21</v>
      </c>
    </row>
    <row r="2555" spans="1:13" x14ac:dyDescent="0.35">
      <c r="A2555" t="str">
        <f>"217-4865"</f>
        <v>217-4865</v>
      </c>
      <c r="B2555" t="s">
        <v>9244</v>
      </c>
      <c r="C2555" t="str">
        <f>"1287"</f>
        <v>1287</v>
      </c>
      <c r="E2555" t="s">
        <v>2060</v>
      </c>
      <c r="F2555" t="s">
        <v>54</v>
      </c>
      <c r="G2555" t="s">
        <v>9245</v>
      </c>
      <c r="H2555" t="s">
        <v>17</v>
      </c>
      <c r="I2555" t="s">
        <v>18</v>
      </c>
      <c r="J2555" t="str">
        <f>"5146553399"</f>
        <v>5146553399</v>
      </c>
      <c r="K2555" t="s">
        <v>9246</v>
      </c>
      <c r="L2555" t="s">
        <v>86</v>
      </c>
      <c r="M2555" t="s">
        <v>21</v>
      </c>
    </row>
    <row r="2556" spans="1:13" x14ac:dyDescent="0.35">
      <c r="A2556" t="str">
        <f>"217-6816"</f>
        <v>217-6816</v>
      </c>
      <c r="B2556" t="s">
        <v>2987</v>
      </c>
      <c r="C2556" t="str">
        <f>"108"</f>
        <v>108</v>
      </c>
      <c r="E2556" t="s">
        <v>9247</v>
      </c>
      <c r="F2556" t="s">
        <v>54</v>
      </c>
      <c r="G2556" t="s">
        <v>9248</v>
      </c>
      <c r="H2556" t="s">
        <v>17</v>
      </c>
      <c r="I2556" t="s">
        <v>18</v>
      </c>
      <c r="J2556" t="str">
        <f>"5145719823"</f>
        <v>5145719823</v>
      </c>
      <c r="K2556" t="s">
        <v>9249</v>
      </c>
      <c r="L2556" t="s">
        <v>220</v>
      </c>
      <c r="M2556" t="s">
        <v>21</v>
      </c>
    </row>
    <row r="2557" spans="1:13" x14ac:dyDescent="0.35">
      <c r="A2557" t="str">
        <f>"217-7473"</f>
        <v>217-7473</v>
      </c>
      <c r="B2557" t="s">
        <v>9250</v>
      </c>
      <c r="C2557" t="str">
        <f>"3333"</f>
        <v>3333</v>
      </c>
      <c r="D2557" t="str">
        <f>"304"</f>
        <v>304</v>
      </c>
      <c r="E2557" t="s">
        <v>9251</v>
      </c>
      <c r="F2557" t="s">
        <v>24</v>
      </c>
      <c r="G2557" t="s">
        <v>9252</v>
      </c>
      <c r="H2557" t="s">
        <v>17</v>
      </c>
      <c r="I2557" t="s">
        <v>18</v>
      </c>
      <c r="J2557" t="str">
        <f>"5146590554"</f>
        <v>5146590554</v>
      </c>
      <c r="K2557" t="s">
        <v>9253</v>
      </c>
      <c r="L2557" t="s">
        <v>86</v>
      </c>
      <c r="M2557" t="s">
        <v>21</v>
      </c>
    </row>
    <row r="2558" spans="1:13" x14ac:dyDescent="0.35">
      <c r="A2558" t="str">
        <f>"227-7437"</f>
        <v>227-7437</v>
      </c>
      <c r="B2558" t="s">
        <v>9254</v>
      </c>
      <c r="C2558" t="str">
        <f>"393"</f>
        <v>393</v>
      </c>
      <c r="E2558" t="s">
        <v>9255</v>
      </c>
      <c r="F2558" t="s">
        <v>768</v>
      </c>
      <c r="G2558" t="s">
        <v>9256</v>
      </c>
      <c r="H2558" t="s">
        <v>17</v>
      </c>
      <c r="I2558" t="s">
        <v>18</v>
      </c>
      <c r="J2558" t="str">
        <f>"4383667338"</f>
        <v>4383667338</v>
      </c>
      <c r="K2558" t="s">
        <v>9257</v>
      </c>
      <c r="L2558" t="s">
        <v>39</v>
      </c>
      <c r="M2558" t="s">
        <v>21</v>
      </c>
    </row>
    <row r="2559" spans="1:13" x14ac:dyDescent="0.35">
      <c r="A2559" t="str">
        <f>"227-7955"</f>
        <v>227-7955</v>
      </c>
      <c r="B2559" t="s">
        <v>9258</v>
      </c>
      <c r="C2559" t="str">
        <f>"1471"</f>
        <v>1471</v>
      </c>
      <c r="E2559" t="s">
        <v>2081</v>
      </c>
      <c r="F2559" t="s">
        <v>24</v>
      </c>
      <c r="G2559" t="s">
        <v>5719</v>
      </c>
      <c r="H2559" t="s">
        <v>17</v>
      </c>
      <c r="I2559" t="s">
        <v>18</v>
      </c>
      <c r="J2559" t="str">
        <f>"8193552521"</f>
        <v>8193552521</v>
      </c>
      <c r="K2559" t="s">
        <v>9259</v>
      </c>
      <c r="L2559" t="s">
        <v>86</v>
      </c>
      <c r="M2559" t="s">
        <v>21</v>
      </c>
    </row>
    <row r="2560" spans="1:13" x14ac:dyDescent="0.35">
      <c r="A2560" t="str">
        <f>"227-8535"</f>
        <v>227-8535</v>
      </c>
      <c r="B2560" t="s">
        <v>9260</v>
      </c>
      <c r="C2560" t="str">
        <f>"7507"</f>
        <v>7507</v>
      </c>
      <c r="E2560" t="s">
        <v>9261</v>
      </c>
      <c r="F2560" t="s">
        <v>24</v>
      </c>
      <c r="G2560" t="s">
        <v>9262</v>
      </c>
      <c r="H2560" t="s">
        <v>17</v>
      </c>
      <c r="I2560" t="s">
        <v>18</v>
      </c>
      <c r="J2560" t="str">
        <f>"5149985286"</f>
        <v>5149985286</v>
      </c>
      <c r="K2560" t="s">
        <v>9263</v>
      </c>
      <c r="L2560" t="s">
        <v>86</v>
      </c>
      <c r="M2560" t="s">
        <v>21</v>
      </c>
    </row>
    <row r="2561" spans="1:13" x14ac:dyDescent="0.35">
      <c r="A2561" t="str">
        <f>"236-7035"</f>
        <v>236-7035</v>
      </c>
      <c r="B2561" t="s">
        <v>9264</v>
      </c>
      <c r="C2561" t="str">
        <f>"270"</f>
        <v>270</v>
      </c>
      <c r="E2561" t="s">
        <v>9265</v>
      </c>
      <c r="F2561" t="s">
        <v>1175</v>
      </c>
      <c r="G2561" t="s">
        <v>9266</v>
      </c>
      <c r="H2561" t="s">
        <v>17</v>
      </c>
      <c r="I2561" t="s">
        <v>18</v>
      </c>
      <c r="J2561" t="str">
        <f>"4385279944"</f>
        <v>4385279944</v>
      </c>
      <c r="K2561" t="s">
        <v>9267</v>
      </c>
      <c r="L2561" t="s">
        <v>27</v>
      </c>
      <c r="M2561" t="s">
        <v>21</v>
      </c>
    </row>
    <row r="2562" spans="1:13" x14ac:dyDescent="0.35">
      <c r="A2562" t="str">
        <f>"237-0098"</f>
        <v>237-0098</v>
      </c>
      <c r="B2562" t="s">
        <v>9268</v>
      </c>
      <c r="C2562" t="str">
        <f>"873"</f>
        <v>873</v>
      </c>
      <c r="E2562" t="s">
        <v>9269</v>
      </c>
      <c r="F2562" t="s">
        <v>682</v>
      </c>
      <c r="G2562" t="s">
        <v>9270</v>
      </c>
      <c r="H2562" t="s">
        <v>17</v>
      </c>
      <c r="I2562" t="s">
        <v>18</v>
      </c>
      <c r="J2562" t="str">
        <f>"4389795333"</f>
        <v>4389795333</v>
      </c>
      <c r="K2562" t="s">
        <v>9271</v>
      </c>
      <c r="L2562" t="s">
        <v>396</v>
      </c>
      <c r="M2562" t="s">
        <v>21</v>
      </c>
    </row>
    <row r="2563" spans="1:13" x14ac:dyDescent="0.35">
      <c r="A2563" t="str">
        <f>"237-1383"</f>
        <v>237-1383</v>
      </c>
      <c r="B2563" t="s">
        <v>9272</v>
      </c>
      <c r="C2563" t="str">
        <f>"9020"</f>
        <v>9020</v>
      </c>
      <c r="E2563" t="s">
        <v>2313</v>
      </c>
      <c r="F2563" t="s">
        <v>24</v>
      </c>
      <c r="G2563" t="s">
        <v>9273</v>
      </c>
      <c r="H2563" t="s">
        <v>17</v>
      </c>
      <c r="I2563" t="s">
        <v>18</v>
      </c>
      <c r="J2563" t="str">
        <f>"5145770403"</f>
        <v>5145770403</v>
      </c>
      <c r="K2563" t="s">
        <v>9274</v>
      </c>
      <c r="L2563" t="s">
        <v>76</v>
      </c>
      <c r="M2563" t="s">
        <v>21</v>
      </c>
    </row>
    <row r="2564" spans="1:13" x14ac:dyDescent="0.35">
      <c r="A2564" t="str">
        <f>"246-3567"</f>
        <v>246-3567</v>
      </c>
      <c r="B2564" t="s">
        <v>9275</v>
      </c>
      <c r="C2564" t="str">
        <f>"667"</f>
        <v>667</v>
      </c>
      <c r="E2564" t="s">
        <v>9276</v>
      </c>
      <c r="F2564" t="s">
        <v>143</v>
      </c>
      <c r="G2564" t="s">
        <v>9277</v>
      </c>
      <c r="H2564" t="s">
        <v>17</v>
      </c>
      <c r="I2564" t="s">
        <v>18</v>
      </c>
      <c r="J2564" t="str">
        <f>"5147065793"</f>
        <v>5147065793</v>
      </c>
      <c r="K2564" t="s">
        <v>9278</v>
      </c>
      <c r="L2564" t="s">
        <v>86</v>
      </c>
      <c r="M2564" t="s">
        <v>21</v>
      </c>
    </row>
    <row r="2565" spans="1:13" x14ac:dyDescent="0.35">
      <c r="A2565" t="str">
        <f>"628-9453"</f>
        <v>628-9453</v>
      </c>
      <c r="B2565" t="s">
        <v>9279</v>
      </c>
      <c r="C2565" t="str">
        <f>"8375"</f>
        <v>8375</v>
      </c>
      <c r="E2565" t="s">
        <v>2091</v>
      </c>
      <c r="F2565" t="s">
        <v>24</v>
      </c>
      <c r="G2565" t="s">
        <v>9280</v>
      </c>
      <c r="H2565" t="s">
        <v>17</v>
      </c>
      <c r="I2565" t="s">
        <v>18</v>
      </c>
      <c r="J2565" t="str">
        <f>"4383797161"</f>
        <v>4383797161</v>
      </c>
      <c r="K2565" t="s">
        <v>9281</v>
      </c>
      <c r="L2565" t="s">
        <v>86</v>
      </c>
      <c r="M2565" t="s">
        <v>21</v>
      </c>
    </row>
    <row r="2566" spans="1:13" x14ac:dyDescent="0.35">
      <c r="A2566" t="str">
        <f>"630-2618"</f>
        <v>630-2618</v>
      </c>
      <c r="B2566" t="s">
        <v>9282</v>
      </c>
      <c r="C2566" t="str">
        <f>"6047"</f>
        <v>6047</v>
      </c>
      <c r="E2566" t="s">
        <v>642</v>
      </c>
      <c r="F2566" t="s">
        <v>24</v>
      </c>
      <c r="G2566" t="s">
        <v>4038</v>
      </c>
      <c r="H2566" t="s">
        <v>17</v>
      </c>
      <c r="I2566" t="s">
        <v>18</v>
      </c>
      <c r="J2566" t="str">
        <f>"5147731965"</f>
        <v>5147731965</v>
      </c>
      <c r="K2566" t="s">
        <v>9283</v>
      </c>
      <c r="L2566" t="s">
        <v>220</v>
      </c>
      <c r="M2566" t="s">
        <v>21</v>
      </c>
    </row>
    <row r="2567" spans="1:13" x14ac:dyDescent="0.35">
      <c r="A2567" t="str">
        <f>"248-4785"</f>
        <v>248-4785</v>
      </c>
      <c r="B2567" t="s">
        <v>9284</v>
      </c>
      <c r="C2567" t="str">
        <f>"2545"</f>
        <v>2545</v>
      </c>
      <c r="E2567" t="s">
        <v>9285</v>
      </c>
      <c r="F2567" t="s">
        <v>40</v>
      </c>
      <c r="G2567" t="s">
        <v>9286</v>
      </c>
      <c r="H2567" t="s">
        <v>17</v>
      </c>
      <c r="I2567" t="s">
        <v>18</v>
      </c>
      <c r="J2567" t="str">
        <f>"4389313130"</f>
        <v>4389313130</v>
      </c>
      <c r="K2567" t="s">
        <v>9287</v>
      </c>
      <c r="L2567" t="s">
        <v>88</v>
      </c>
      <c r="M2567" t="s">
        <v>21</v>
      </c>
    </row>
    <row r="2568" spans="1:13" x14ac:dyDescent="0.35">
      <c r="A2568" t="str">
        <f>"248-4930"</f>
        <v>248-4930</v>
      </c>
      <c r="B2568" t="s">
        <v>9288</v>
      </c>
      <c r="C2568" t="str">
        <f>"1828"</f>
        <v>1828</v>
      </c>
      <c r="E2568" t="s">
        <v>213</v>
      </c>
      <c r="F2568" t="s">
        <v>24</v>
      </c>
      <c r="G2568" t="s">
        <v>8873</v>
      </c>
      <c r="H2568" t="s">
        <v>17</v>
      </c>
      <c r="I2568" t="s">
        <v>18</v>
      </c>
      <c r="J2568" t="str">
        <f>"4385074795"</f>
        <v>4385074795</v>
      </c>
      <c r="K2568" t="s">
        <v>9289</v>
      </c>
      <c r="L2568" t="s">
        <v>869</v>
      </c>
      <c r="M2568" t="s">
        <v>21</v>
      </c>
    </row>
    <row r="2569" spans="1:13" x14ac:dyDescent="0.35">
      <c r="A2569" t="str">
        <f>"248-5163"</f>
        <v>248-5163</v>
      </c>
      <c r="B2569" t="s">
        <v>9290</v>
      </c>
      <c r="C2569" t="str">
        <f>"7422"</f>
        <v>7422</v>
      </c>
      <c r="E2569" t="s">
        <v>1163</v>
      </c>
      <c r="F2569" t="s">
        <v>24</v>
      </c>
      <c r="G2569" t="s">
        <v>9291</v>
      </c>
      <c r="H2569" t="s">
        <v>17</v>
      </c>
      <c r="I2569" t="s">
        <v>18</v>
      </c>
      <c r="J2569" t="str">
        <f>"5144483260"</f>
        <v>5144483260</v>
      </c>
      <c r="K2569" t="s">
        <v>9292</v>
      </c>
      <c r="L2569" t="s">
        <v>137</v>
      </c>
      <c r="M2569" t="s">
        <v>21</v>
      </c>
    </row>
    <row r="2570" spans="1:13" x14ac:dyDescent="0.35">
      <c r="A2570" t="str">
        <f>"248-6752"</f>
        <v>248-6752</v>
      </c>
      <c r="B2570" t="s">
        <v>9293</v>
      </c>
      <c r="C2570" t="str">
        <f>"5755"</f>
        <v>5755</v>
      </c>
      <c r="D2570" t="str">
        <f>"201"</f>
        <v>201</v>
      </c>
      <c r="E2570" t="s">
        <v>9294</v>
      </c>
      <c r="F2570" t="s">
        <v>9295</v>
      </c>
      <c r="G2570" t="s">
        <v>9296</v>
      </c>
      <c r="H2570" t="s">
        <v>17</v>
      </c>
      <c r="I2570" t="s">
        <v>18</v>
      </c>
      <c r="J2570" t="str">
        <f>"5147469054"</f>
        <v>5147469054</v>
      </c>
      <c r="K2570" t="s">
        <v>9297</v>
      </c>
      <c r="L2570" t="s">
        <v>88</v>
      </c>
      <c r="M2570" t="s">
        <v>21</v>
      </c>
    </row>
    <row r="2571" spans="1:13" x14ac:dyDescent="0.35">
      <c r="A2571" t="str">
        <f>"143-6359"</f>
        <v>143-6359</v>
      </c>
      <c r="B2571" t="s">
        <v>9298</v>
      </c>
      <c r="C2571" t="str">
        <f>"7778"</f>
        <v>7778</v>
      </c>
      <c r="E2571" t="s">
        <v>556</v>
      </c>
      <c r="F2571" t="s">
        <v>24</v>
      </c>
      <c r="G2571" t="s">
        <v>9299</v>
      </c>
      <c r="H2571" t="s">
        <v>17</v>
      </c>
      <c r="I2571" t="s">
        <v>18</v>
      </c>
      <c r="J2571" t="str">
        <f>"8192183508"</f>
        <v>8192183508</v>
      </c>
      <c r="K2571" t="s">
        <v>9300</v>
      </c>
      <c r="L2571" t="s">
        <v>76</v>
      </c>
      <c r="M2571" t="s">
        <v>21</v>
      </c>
    </row>
    <row r="2572" spans="1:13" x14ac:dyDescent="0.35">
      <c r="A2572" t="str">
        <f>"194-4333"</f>
        <v>194-4333</v>
      </c>
      <c r="B2572" t="s">
        <v>9301</v>
      </c>
      <c r="C2572" t="str">
        <f>"3300"</f>
        <v>3300</v>
      </c>
      <c r="D2572" t="str">
        <f>"7"</f>
        <v>7</v>
      </c>
      <c r="E2572" t="s">
        <v>9302</v>
      </c>
      <c r="F2572" t="s">
        <v>3061</v>
      </c>
      <c r="G2572" t="s">
        <v>9303</v>
      </c>
      <c r="H2572" t="s">
        <v>17</v>
      </c>
      <c r="I2572" t="s">
        <v>18</v>
      </c>
      <c r="J2572" t="str">
        <f>"4508804471"</f>
        <v>4508804471</v>
      </c>
      <c r="K2572" t="s">
        <v>9304</v>
      </c>
      <c r="L2572" t="s">
        <v>313</v>
      </c>
      <c r="M2572" t="s">
        <v>21</v>
      </c>
    </row>
    <row r="2573" spans="1:13" x14ac:dyDescent="0.35">
      <c r="A2573" t="str">
        <f>"195-4901"</f>
        <v>195-4901</v>
      </c>
      <c r="B2573" t="s">
        <v>9305</v>
      </c>
      <c r="C2573" t="str">
        <f>"170"</f>
        <v>170</v>
      </c>
      <c r="D2573" t="str">
        <f>"608"</f>
        <v>608</v>
      </c>
      <c r="E2573" t="s">
        <v>9306</v>
      </c>
      <c r="F2573" t="s">
        <v>24</v>
      </c>
      <c r="G2573" t="s">
        <v>9307</v>
      </c>
      <c r="H2573" t="s">
        <v>17</v>
      </c>
      <c r="I2573" t="s">
        <v>18</v>
      </c>
      <c r="J2573" t="str">
        <f>"4385275558"</f>
        <v>4385275558</v>
      </c>
      <c r="K2573" t="s">
        <v>9308</v>
      </c>
      <c r="L2573" t="s">
        <v>350</v>
      </c>
      <c r="M2573" t="s">
        <v>21</v>
      </c>
    </row>
    <row r="2574" spans="1:13" x14ac:dyDescent="0.35">
      <c r="A2574" t="str">
        <f>"207-8048"</f>
        <v>207-8048</v>
      </c>
      <c r="B2574" t="s">
        <v>9309</v>
      </c>
      <c r="C2574" t="str">
        <f>"775"</f>
        <v>775</v>
      </c>
      <c r="D2574" t="str">
        <f>"775"</f>
        <v>775</v>
      </c>
      <c r="E2574" t="s">
        <v>9310</v>
      </c>
      <c r="F2574" t="s">
        <v>2873</v>
      </c>
      <c r="G2574" t="s">
        <v>2874</v>
      </c>
      <c r="H2574" t="s">
        <v>17</v>
      </c>
      <c r="I2574" t="s">
        <v>18</v>
      </c>
      <c r="J2574" t="str">
        <f>"5149248370"</f>
        <v>5149248370</v>
      </c>
      <c r="K2574" t="s">
        <v>9311</v>
      </c>
      <c r="L2574" t="s">
        <v>137</v>
      </c>
      <c r="M2574" t="s">
        <v>21</v>
      </c>
    </row>
    <row r="2575" spans="1:13" x14ac:dyDescent="0.35">
      <c r="A2575" t="str">
        <f>"208-1322"</f>
        <v>208-1322</v>
      </c>
      <c r="B2575" t="s">
        <v>9312</v>
      </c>
      <c r="C2575" t="str">
        <f>"7961"</f>
        <v>7961</v>
      </c>
      <c r="D2575" t="str">
        <f>"74"</f>
        <v>74</v>
      </c>
      <c r="E2575" t="s">
        <v>9313</v>
      </c>
      <c r="F2575" t="s">
        <v>24</v>
      </c>
      <c r="G2575" t="s">
        <v>9314</v>
      </c>
      <c r="H2575" t="s">
        <v>17</v>
      </c>
      <c r="I2575" t="s">
        <v>18</v>
      </c>
      <c r="J2575" t="str">
        <f>"4388814672"</f>
        <v>4388814672</v>
      </c>
      <c r="K2575" t="s">
        <v>9315</v>
      </c>
      <c r="L2575" t="s">
        <v>466</v>
      </c>
      <c r="M2575" t="s">
        <v>21</v>
      </c>
    </row>
    <row r="2576" spans="1:13" x14ac:dyDescent="0.35">
      <c r="A2576" t="str">
        <f>"213-3669"</f>
        <v>213-3669</v>
      </c>
      <c r="B2576" t="s">
        <v>9316</v>
      </c>
      <c r="C2576" t="str">
        <f>"147"</f>
        <v>147</v>
      </c>
      <c r="E2576" t="s">
        <v>9317</v>
      </c>
      <c r="F2576" t="s">
        <v>9318</v>
      </c>
      <c r="G2576" t="s">
        <v>9319</v>
      </c>
      <c r="H2576" t="s">
        <v>17</v>
      </c>
      <c r="I2576" t="s">
        <v>18</v>
      </c>
      <c r="J2576" t="str">
        <f>"4505313648"</f>
        <v>4505313648</v>
      </c>
      <c r="K2576" t="s">
        <v>9320</v>
      </c>
      <c r="L2576" t="s">
        <v>203</v>
      </c>
      <c r="M2576" t="s">
        <v>21</v>
      </c>
    </row>
    <row r="2577" spans="1:13" x14ac:dyDescent="0.35">
      <c r="A2577" t="str">
        <f>"219-2043"</f>
        <v>219-2043</v>
      </c>
      <c r="B2577" t="s">
        <v>9321</v>
      </c>
      <c r="C2577" t="str">
        <f>"300"</f>
        <v>300</v>
      </c>
      <c r="D2577" t="str">
        <f>"34"</f>
        <v>34</v>
      </c>
      <c r="E2577" t="s">
        <v>9322</v>
      </c>
      <c r="F2577" t="s">
        <v>24</v>
      </c>
      <c r="G2577" t="s">
        <v>9323</v>
      </c>
      <c r="H2577" t="s">
        <v>17</v>
      </c>
      <c r="I2577" t="s">
        <v>18</v>
      </c>
      <c r="J2577" t="str">
        <f>"5146329889"</f>
        <v>5146329889</v>
      </c>
      <c r="K2577" t="s">
        <v>9324</v>
      </c>
      <c r="L2577" t="s">
        <v>86</v>
      </c>
      <c r="M2577" t="s">
        <v>21</v>
      </c>
    </row>
    <row r="2578" spans="1:13" x14ac:dyDescent="0.35">
      <c r="A2578" t="str">
        <f>"631-3835"</f>
        <v>631-3835</v>
      </c>
      <c r="B2578" t="s">
        <v>9325</v>
      </c>
      <c r="C2578" t="str">
        <f>"5377"</f>
        <v>5377</v>
      </c>
      <c r="E2578" t="s">
        <v>9326</v>
      </c>
      <c r="F2578" t="s">
        <v>24</v>
      </c>
      <c r="G2578" t="s">
        <v>9327</v>
      </c>
      <c r="H2578" t="s">
        <v>17</v>
      </c>
      <c r="I2578" t="s">
        <v>18</v>
      </c>
      <c r="J2578" t="str">
        <f>"4386226808"</f>
        <v>4386226808</v>
      </c>
      <c r="K2578" t="s">
        <v>9328</v>
      </c>
      <c r="L2578" t="s">
        <v>86</v>
      </c>
      <c r="M2578" t="s">
        <v>21</v>
      </c>
    </row>
    <row r="2579" spans="1:13" x14ac:dyDescent="0.35">
      <c r="A2579" t="str">
        <f>"631-4452"</f>
        <v>631-4452</v>
      </c>
      <c r="B2579" t="s">
        <v>9329</v>
      </c>
      <c r="C2579" t="str">
        <f>"845"</f>
        <v>845</v>
      </c>
      <c r="D2579" t="str">
        <f>"2"</f>
        <v>2</v>
      </c>
      <c r="E2579" t="s">
        <v>9330</v>
      </c>
      <c r="F2579" t="s">
        <v>24</v>
      </c>
      <c r="G2579" t="s">
        <v>9331</v>
      </c>
      <c r="H2579" t="s">
        <v>17</v>
      </c>
      <c r="I2579" t="s">
        <v>18</v>
      </c>
      <c r="J2579" t="str">
        <f>"4389903005"</f>
        <v>4389903005</v>
      </c>
      <c r="K2579" t="s">
        <v>9332</v>
      </c>
      <c r="L2579" t="s">
        <v>86</v>
      </c>
      <c r="M2579" t="s">
        <v>21</v>
      </c>
    </row>
    <row r="2580" spans="1:13" x14ac:dyDescent="0.35">
      <c r="A2580" t="str">
        <f>"631-6765"</f>
        <v>631-6765</v>
      </c>
      <c r="B2580" t="s">
        <v>9333</v>
      </c>
      <c r="C2580" t="str">
        <f>"11410"</f>
        <v>11410</v>
      </c>
      <c r="E2580" t="s">
        <v>9334</v>
      </c>
      <c r="F2580" t="s">
        <v>24</v>
      </c>
      <c r="G2580" t="s">
        <v>9335</v>
      </c>
      <c r="H2580" t="s">
        <v>17</v>
      </c>
      <c r="I2580" t="s">
        <v>18</v>
      </c>
      <c r="J2580" t="str">
        <f>"4389276681"</f>
        <v>4389276681</v>
      </c>
      <c r="K2580" t="s">
        <v>9336</v>
      </c>
      <c r="L2580" t="s">
        <v>396</v>
      </c>
      <c r="M2580" t="s">
        <v>21</v>
      </c>
    </row>
    <row r="2581" spans="1:13" x14ac:dyDescent="0.35">
      <c r="A2581" t="str">
        <f>"631-7052"</f>
        <v>631-7052</v>
      </c>
      <c r="B2581" t="s">
        <v>9337</v>
      </c>
      <c r="C2581" t="str">
        <f>"6625"</f>
        <v>6625</v>
      </c>
      <c r="E2581" t="s">
        <v>306</v>
      </c>
      <c r="F2581" t="s">
        <v>24</v>
      </c>
      <c r="G2581" t="s">
        <v>9338</v>
      </c>
      <c r="H2581" t="s">
        <v>17</v>
      </c>
      <c r="I2581" t="s">
        <v>18</v>
      </c>
      <c r="J2581" t="str">
        <f>"4389907492"</f>
        <v>4389907492</v>
      </c>
      <c r="K2581" t="s">
        <v>9339</v>
      </c>
      <c r="L2581" t="s">
        <v>86</v>
      </c>
      <c r="M2581" t="s">
        <v>21</v>
      </c>
    </row>
    <row r="2582" spans="1:13" x14ac:dyDescent="0.35">
      <c r="A2582" t="str">
        <f>"631-7239"</f>
        <v>631-7239</v>
      </c>
      <c r="B2582" t="s">
        <v>9340</v>
      </c>
      <c r="C2582" t="str">
        <f>"341"</f>
        <v>341</v>
      </c>
      <c r="E2582" t="s">
        <v>9341</v>
      </c>
      <c r="F2582" t="s">
        <v>54</v>
      </c>
      <c r="G2582" t="s">
        <v>9342</v>
      </c>
      <c r="H2582" t="s">
        <v>17</v>
      </c>
      <c r="I2582" t="s">
        <v>18</v>
      </c>
      <c r="J2582" t="str">
        <f>"4388733985"</f>
        <v>4388733985</v>
      </c>
      <c r="K2582" t="s">
        <v>9343</v>
      </c>
      <c r="L2582" t="s">
        <v>86</v>
      </c>
      <c r="M2582" t="s">
        <v>21</v>
      </c>
    </row>
    <row r="2583" spans="1:13" x14ac:dyDescent="0.35">
      <c r="A2583" t="str">
        <f>"631-7905"</f>
        <v>631-7905</v>
      </c>
      <c r="B2583" t="s">
        <v>9344</v>
      </c>
      <c r="C2583" t="str">
        <f>"5530"</f>
        <v>5530</v>
      </c>
      <c r="E2583" t="s">
        <v>830</v>
      </c>
      <c r="F2583" t="s">
        <v>24</v>
      </c>
      <c r="G2583" t="s">
        <v>9345</v>
      </c>
      <c r="H2583" t="s">
        <v>17</v>
      </c>
      <c r="I2583" t="s">
        <v>18</v>
      </c>
      <c r="J2583" t="str">
        <f>"5145928339"</f>
        <v>5145928339</v>
      </c>
      <c r="K2583" t="s">
        <v>9346</v>
      </c>
      <c r="L2583" t="s">
        <v>86</v>
      </c>
      <c r="M2583" t="s">
        <v>21</v>
      </c>
    </row>
    <row r="2584" spans="1:13" x14ac:dyDescent="0.35">
      <c r="A2584" t="str">
        <f>"197-7030"</f>
        <v>197-7030</v>
      </c>
      <c r="B2584" t="s">
        <v>9347</v>
      </c>
      <c r="C2584" t="str">
        <f>"4041"</f>
        <v>4041</v>
      </c>
      <c r="D2584" t="str">
        <f>"20"</f>
        <v>20</v>
      </c>
      <c r="E2584" t="s">
        <v>376</v>
      </c>
      <c r="F2584" t="s">
        <v>24</v>
      </c>
      <c r="G2584" t="s">
        <v>9348</v>
      </c>
      <c r="H2584" t="s">
        <v>17</v>
      </c>
      <c r="I2584" t="s">
        <v>18</v>
      </c>
      <c r="J2584" t="str">
        <f>"4383895041"</f>
        <v>4383895041</v>
      </c>
      <c r="K2584" t="s">
        <v>9349</v>
      </c>
      <c r="L2584" t="s">
        <v>86</v>
      </c>
      <c r="M2584" t="s">
        <v>21</v>
      </c>
    </row>
    <row r="2585" spans="1:13" x14ac:dyDescent="0.35">
      <c r="A2585" t="str">
        <f>"198-0872"</f>
        <v>198-0872</v>
      </c>
      <c r="B2585" t="s">
        <v>9350</v>
      </c>
      <c r="C2585" t="str">
        <f>"324"</f>
        <v>324</v>
      </c>
      <c r="E2585" t="s">
        <v>3535</v>
      </c>
      <c r="F2585" t="s">
        <v>24</v>
      </c>
      <c r="G2585" t="s">
        <v>9351</v>
      </c>
      <c r="H2585" t="s">
        <v>17</v>
      </c>
      <c r="I2585" t="s">
        <v>18</v>
      </c>
      <c r="J2585" t="str">
        <f>"5142319546"</f>
        <v>5142319546</v>
      </c>
      <c r="K2585" t="s">
        <v>9352</v>
      </c>
      <c r="L2585" t="s">
        <v>86</v>
      </c>
      <c r="M2585" t="s">
        <v>21</v>
      </c>
    </row>
    <row r="2586" spans="1:13" x14ac:dyDescent="0.35">
      <c r="A2586" t="str">
        <f>"204-6679"</f>
        <v>204-6679</v>
      </c>
      <c r="B2586" t="s">
        <v>9353</v>
      </c>
      <c r="C2586" t="str">
        <f>"5235"</f>
        <v>5235</v>
      </c>
      <c r="E2586" t="s">
        <v>9354</v>
      </c>
      <c r="F2586" t="s">
        <v>40</v>
      </c>
      <c r="G2586" t="s">
        <v>4332</v>
      </c>
      <c r="H2586" t="s">
        <v>17</v>
      </c>
      <c r="I2586" t="s">
        <v>18</v>
      </c>
      <c r="J2586" t="str">
        <f>"4387776382"</f>
        <v>4387776382</v>
      </c>
      <c r="K2586" t="s">
        <v>9355</v>
      </c>
      <c r="L2586" t="s">
        <v>86</v>
      </c>
      <c r="M2586" t="s">
        <v>21</v>
      </c>
    </row>
    <row r="2587" spans="1:13" x14ac:dyDescent="0.35">
      <c r="A2587" t="str">
        <f>"205-1689"</f>
        <v>205-1689</v>
      </c>
      <c r="B2587" t="s">
        <v>9356</v>
      </c>
      <c r="C2587" t="str">
        <f>"10902"</f>
        <v>10902</v>
      </c>
      <c r="E2587" t="s">
        <v>1396</v>
      </c>
      <c r="F2587" t="s">
        <v>24</v>
      </c>
      <c r="G2587" t="s">
        <v>9357</v>
      </c>
      <c r="H2587" t="s">
        <v>17</v>
      </c>
      <c r="I2587" t="s">
        <v>18</v>
      </c>
      <c r="J2587" t="str">
        <f>"5144422599"</f>
        <v>5144422599</v>
      </c>
      <c r="K2587" t="s">
        <v>9358</v>
      </c>
      <c r="L2587" t="s">
        <v>396</v>
      </c>
      <c r="M2587" t="s">
        <v>21</v>
      </c>
    </row>
    <row r="2588" spans="1:13" x14ac:dyDescent="0.35">
      <c r="A2588" t="str">
        <f>"215-7816"</f>
        <v>215-7816</v>
      </c>
      <c r="B2588" t="s">
        <v>9359</v>
      </c>
      <c r="C2588" t="str">
        <f>"105"</f>
        <v>105</v>
      </c>
      <c r="E2588" t="s">
        <v>9360</v>
      </c>
      <c r="F2588" t="s">
        <v>9361</v>
      </c>
      <c r="G2588" t="s">
        <v>9362</v>
      </c>
      <c r="H2588" t="s">
        <v>17</v>
      </c>
      <c r="I2588" t="s">
        <v>18</v>
      </c>
      <c r="J2588" t="str">
        <f>"5145608273"</f>
        <v>5145608273</v>
      </c>
      <c r="K2588" t="s">
        <v>9363</v>
      </c>
      <c r="L2588" t="s">
        <v>86</v>
      </c>
      <c r="M2588" t="s">
        <v>21</v>
      </c>
    </row>
    <row r="2589" spans="1:13" x14ac:dyDescent="0.35">
      <c r="A2589" t="str">
        <f>"246-8786"</f>
        <v>246-8786</v>
      </c>
      <c r="B2589" t="s">
        <v>9364</v>
      </c>
      <c r="I2589" t="s">
        <v>9365</v>
      </c>
      <c r="J2589" t="str">
        <f>"5143761620"</f>
        <v>5143761620</v>
      </c>
      <c r="K2589" t="s">
        <v>9366</v>
      </c>
      <c r="L2589" t="s">
        <v>396</v>
      </c>
      <c r="M2589" t="s">
        <v>21</v>
      </c>
    </row>
    <row r="2590" spans="1:13" x14ac:dyDescent="0.35">
      <c r="A2590" t="str">
        <f>"246-8895"</f>
        <v>246-8895</v>
      </c>
      <c r="B2590" t="s">
        <v>9367</v>
      </c>
      <c r="C2590" t="str">
        <f>"8622"</f>
        <v>8622</v>
      </c>
      <c r="D2590" t="str">
        <f>"8622"</f>
        <v>8622</v>
      </c>
      <c r="E2590" t="s">
        <v>3902</v>
      </c>
      <c r="F2590" t="s">
        <v>24</v>
      </c>
      <c r="G2590" t="s">
        <v>9368</v>
      </c>
      <c r="H2590" t="s">
        <v>17</v>
      </c>
      <c r="I2590" t="s">
        <v>18</v>
      </c>
      <c r="J2590" t="str">
        <f>"4389983911"</f>
        <v>4389983911</v>
      </c>
      <c r="K2590" t="s">
        <v>9369</v>
      </c>
      <c r="L2590" t="s">
        <v>86</v>
      </c>
      <c r="M2590" t="s">
        <v>21</v>
      </c>
    </row>
    <row r="2591" spans="1:13" x14ac:dyDescent="0.35">
      <c r="A2591" t="str">
        <f>"246-9270"</f>
        <v>246-9270</v>
      </c>
      <c r="B2591" t="s">
        <v>9370</v>
      </c>
      <c r="C2591" t="str">
        <f>"5165"</f>
        <v>5165</v>
      </c>
      <c r="E2591" t="s">
        <v>2785</v>
      </c>
      <c r="F2591" t="s">
        <v>24</v>
      </c>
      <c r="G2591" t="s">
        <v>9371</v>
      </c>
      <c r="H2591" t="s">
        <v>17</v>
      </c>
      <c r="I2591" t="s">
        <v>18</v>
      </c>
      <c r="J2591" t="str">
        <f>"4389898858"</f>
        <v>4389898858</v>
      </c>
      <c r="K2591" t="s">
        <v>9372</v>
      </c>
      <c r="L2591" t="s">
        <v>137</v>
      </c>
      <c r="M2591" t="s">
        <v>21</v>
      </c>
    </row>
    <row r="2592" spans="1:13" x14ac:dyDescent="0.35">
      <c r="A2592" t="str">
        <f>"246-9461"</f>
        <v>246-9461</v>
      </c>
      <c r="B2592" t="s">
        <v>9373</v>
      </c>
      <c r="C2592" t="str">
        <f>"5592"</f>
        <v>5592</v>
      </c>
      <c r="E2592" t="s">
        <v>5330</v>
      </c>
      <c r="F2592" t="s">
        <v>24</v>
      </c>
      <c r="G2592" t="s">
        <v>5331</v>
      </c>
      <c r="H2592" t="s">
        <v>17</v>
      </c>
      <c r="I2592" t="s">
        <v>18</v>
      </c>
      <c r="J2592" t="str">
        <f>"4384661869"</f>
        <v>4384661869</v>
      </c>
      <c r="K2592" t="s">
        <v>9374</v>
      </c>
      <c r="L2592" t="s">
        <v>396</v>
      </c>
      <c r="M2592" t="s">
        <v>21</v>
      </c>
    </row>
    <row r="2593" spans="1:13" x14ac:dyDescent="0.35">
      <c r="A2593" t="str">
        <f>"249-2569"</f>
        <v>249-2569</v>
      </c>
      <c r="B2593" t="s">
        <v>9375</v>
      </c>
      <c r="C2593" t="str">
        <f>"1465"</f>
        <v>1465</v>
      </c>
      <c r="D2593" t="str">
        <f>"8"</f>
        <v>8</v>
      </c>
      <c r="E2593" t="s">
        <v>9376</v>
      </c>
      <c r="F2593" t="s">
        <v>40</v>
      </c>
      <c r="G2593" t="s">
        <v>9377</v>
      </c>
      <c r="H2593" t="s">
        <v>17</v>
      </c>
      <c r="I2593" t="s">
        <v>18</v>
      </c>
      <c r="J2593" t="str">
        <f>"5146252022"</f>
        <v>5146252022</v>
      </c>
      <c r="K2593" t="s">
        <v>9378</v>
      </c>
      <c r="L2593" t="s">
        <v>76</v>
      </c>
      <c r="M2593" t="s">
        <v>21</v>
      </c>
    </row>
    <row r="2594" spans="1:13" x14ac:dyDescent="0.35">
      <c r="A2594" t="str">
        <f>"178-4038"</f>
        <v>178-4038</v>
      </c>
      <c r="B2594" t="s">
        <v>9379</v>
      </c>
      <c r="C2594" t="str">
        <f>"54"</f>
        <v>54</v>
      </c>
      <c r="E2594" t="s">
        <v>9380</v>
      </c>
      <c r="F2594" t="s">
        <v>1803</v>
      </c>
      <c r="G2594" t="s">
        <v>9381</v>
      </c>
      <c r="H2594" t="s">
        <v>17</v>
      </c>
      <c r="I2594" t="s">
        <v>18</v>
      </c>
      <c r="J2594" t="str">
        <f>"4385012022"</f>
        <v>4385012022</v>
      </c>
      <c r="K2594" t="s">
        <v>9382</v>
      </c>
      <c r="L2594" t="s">
        <v>39</v>
      </c>
      <c r="M2594" t="s">
        <v>21</v>
      </c>
    </row>
    <row r="2595" spans="1:13" x14ac:dyDescent="0.35">
      <c r="A2595" t="str">
        <f>"629-7370"</f>
        <v>629-7370</v>
      </c>
      <c r="B2595" t="s">
        <v>9383</v>
      </c>
      <c r="C2595" t="str">
        <f>"285"</f>
        <v>285</v>
      </c>
      <c r="E2595" t="s">
        <v>2348</v>
      </c>
      <c r="F2595" t="s">
        <v>32</v>
      </c>
      <c r="G2595" t="s">
        <v>9384</v>
      </c>
      <c r="H2595" t="s">
        <v>17</v>
      </c>
      <c r="I2595" t="s">
        <v>18</v>
      </c>
      <c r="J2595" t="str">
        <f>"4385081808"</f>
        <v>4385081808</v>
      </c>
      <c r="K2595" t="s">
        <v>9385</v>
      </c>
      <c r="L2595" t="s">
        <v>86</v>
      </c>
      <c r="M2595" t="s">
        <v>21</v>
      </c>
    </row>
    <row r="2596" spans="1:13" x14ac:dyDescent="0.35">
      <c r="A2596" t="str">
        <f>"215-5023"</f>
        <v>215-5023</v>
      </c>
      <c r="B2596" t="s">
        <v>9386</v>
      </c>
      <c r="C2596" t="str">
        <f>"5750"</f>
        <v>5750</v>
      </c>
      <c r="D2596" t="str">
        <f>"5750"</f>
        <v>5750</v>
      </c>
      <c r="E2596" t="s">
        <v>931</v>
      </c>
      <c r="F2596" t="s">
        <v>40</v>
      </c>
      <c r="G2596" t="s">
        <v>4235</v>
      </c>
      <c r="H2596" t="s">
        <v>17</v>
      </c>
      <c r="I2596" t="s">
        <v>18</v>
      </c>
      <c r="J2596" t="str">
        <f>"5142620848"</f>
        <v>5142620848</v>
      </c>
      <c r="K2596" t="s">
        <v>9387</v>
      </c>
      <c r="L2596" t="s">
        <v>168</v>
      </c>
      <c r="M2596" t="s">
        <v>21</v>
      </c>
    </row>
    <row r="2597" spans="1:13" x14ac:dyDescent="0.35">
      <c r="A2597" t="str">
        <f>"229-3873"</f>
        <v>229-3873</v>
      </c>
      <c r="B2597" t="s">
        <v>9388</v>
      </c>
      <c r="C2597" t="str">
        <f>"6855"</f>
        <v>6855</v>
      </c>
      <c r="D2597" t="str">
        <f>"3"</f>
        <v>3</v>
      </c>
      <c r="E2597" t="s">
        <v>3344</v>
      </c>
      <c r="F2597" t="s">
        <v>24</v>
      </c>
      <c r="G2597" t="s">
        <v>9389</v>
      </c>
      <c r="H2597" t="s">
        <v>17</v>
      </c>
      <c r="I2597" t="s">
        <v>18</v>
      </c>
      <c r="J2597" t="str">
        <f>"8192381346"</f>
        <v>8192381346</v>
      </c>
      <c r="K2597" t="s">
        <v>9390</v>
      </c>
      <c r="L2597" t="s">
        <v>203</v>
      </c>
      <c r="M2597" t="s">
        <v>21</v>
      </c>
    </row>
    <row r="2598" spans="1:13" x14ac:dyDescent="0.35">
      <c r="A2598" t="str">
        <f>"246-7957"</f>
        <v>246-7957</v>
      </c>
      <c r="B2598" t="s">
        <v>9391</v>
      </c>
      <c r="C2598" t="str">
        <f>"235"</f>
        <v>235</v>
      </c>
      <c r="E2598" t="s">
        <v>9392</v>
      </c>
      <c r="F2598" t="s">
        <v>143</v>
      </c>
      <c r="G2598" t="s">
        <v>9393</v>
      </c>
      <c r="H2598" t="s">
        <v>17</v>
      </c>
      <c r="I2598" t="s">
        <v>18</v>
      </c>
      <c r="J2598" t="str">
        <f>"4383892954"</f>
        <v>4383892954</v>
      </c>
      <c r="K2598" t="s">
        <v>9394</v>
      </c>
      <c r="L2598" t="s">
        <v>86</v>
      </c>
      <c r="M2598" t="s">
        <v>21</v>
      </c>
    </row>
    <row r="2599" spans="1:13" x14ac:dyDescent="0.35">
      <c r="A2599" t="str">
        <f>"246-8345"</f>
        <v>246-8345</v>
      </c>
      <c r="B2599" t="s">
        <v>9395</v>
      </c>
      <c r="C2599" t="str">
        <f>"4620"</f>
        <v>4620</v>
      </c>
      <c r="D2599" t="str">
        <f>"06"</f>
        <v>06</v>
      </c>
      <c r="E2599" t="s">
        <v>9396</v>
      </c>
      <c r="F2599" t="s">
        <v>24</v>
      </c>
      <c r="G2599" t="s">
        <v>9397</v>
      </c>
      <c r="H2599" t="s">
        <v>17</v>
      </c>
      <c r="I2599" t="s">
        <v>18</v>
      </c>
      <c r="J2599" t="str">
        <f>"4388554312"</f>
        <v>4388554312</v>
      </c>
      <c r="K2599" t="s">
        <v>9398</v>
      </c>
      <c r="L2599" t="s">
        <v>86</v>
      </c>
      <c r="M2599" t="s">
        <v>21</v>
      </c>
    </row>
    <row r="2600" spans="1:13" x14ac:dyDescent="0.35">
      <c r="A2600" t="str">
        <f>"246-8349"</f>
        <v>246-8349</v>
      </c>
      <c r="B2600" t="s">
        <v>9399</v>
      </c>
      <c r="C2600" t="str">
        <f>"2237"</f>
        <v>2237</v>
      </c>
      <c r="D2600" t="str">
        <f>"203"</f>
        <v>203</v>
      </c>
      <c r="E2600" t="s">
        <v>897</v>
      </c>
      <c r="F2600" t="s">
        <v>24</v>
      </c>
      <c r="G2600" t="s">
        <v>9400</v>
      </c>
      <c r="H2600" t="s">
        <v>17</v>
      </c>
      <c r="I2600" t="s">
        <v>18</v>
      </c>
      <c r="J2600" t="str">
        <f>"5146196960"</f>
        <v>5146196960</v>
      </c>
      <c r="K2600" t="s">
        <v>9401</v>
      </c>
      <c r="L2600" t="s">
        <v>869</v>
      </c>
      <c r="M2600" t="s">
        <v>21</v>
      </c>
    </row>
    <row r="2601" spans="1:13" x14ac:dyDescent="0.35">
      <c r="A2601" t="str">
        <f>"626-0073"</f>
        <v>626-0073</v>
      </c>
      <c r="B2601" t="s">
        <v>9402</v>
      </c>
      <c r="C2601" t="str">
        <f>"6245"</f>
        <v>6245</v>
      </c>
      <c r="E2601" t="s">
        <v>9403</v>
      </c>
      <c r="F2601" t="s">
        <v>24</v>
      </c>
      <c r="G2601" t="s">
        <v>2136</v>
      </c>
      <c r="H2601" t="s">
        <v>17</v>
      </c>
      <c r="I2601" t="s">
        <v>18</v>
      </c>
      <c r="J2601" t="str">
        <f>"4385298300"</f>
        <v>4385298300</v>
      </c>
      <c r="K2601" t="s">
        <v>9404</v>
      </c>
      <c r="L2601" t="s">
        <v>168</v>
      </c>
      <c r="M2601" t="s">
        <v>21</v>
      </c>
    </row>
    <row r="2602" spans="1:13" x14ac:dyDescent="0.35">
      <c r="A2602" t="str">
        <f>"626-1126"</f>
        <v>626-1126</v>
      </c>
      <c r="B2602" t="s">
        <v>9405</v>
      </c>
      <c r="C2602" t="str">
        <f>"33"</f>
        <v>33</v>
      </c>
      <c r="E2602" t="s">
        <v>9406</v>
      </c>
      <c r="F2602" t="s">
        <v>54</v>
      </c>
      <c r="G2602" t="s">
        <v>9407</v>
      </c>
      <c r="H2602" t="s">
        <v>17</v>
      </c>
      <c r="I2602" t="s">
        <v>18</v>
      </c>
      <c r="J2602" t="str">
        <f>"5149420957"</f>
        <v>5149420957</v>
      </c>
      <c r="K2602" t="s">
        <v>9408</v>
      </c>
      <c r="L2602" t="s">
        <v>86</v>
      </c>
      <c r="M2602" t="s">
        <v>21</v>
      </c>
    </row>
    <row r="2603" spans="1:13" x14ac:dyDescent="0.35">
      <c r="A2603" t="str">
        <f>"631-8102"</f>
        <v>631-8102</v>
      </c>
      <c r="B2603" t="s">
        <v>9409</v>
      </c>
      <c r="C2603" t="str">
        <f>"4819"</f>
        <v>4819</v>
      </c>
      <c r="E2603" t="s">
        <v>9410</v>
      </c>
      <c r="F2603" t="s">
        <v>24</v>
      </c>
      <c r="G2603" t="s">
        <v>9411</v>
      </c>
      <c r="H2603" t="s">
        <v>17</v>
      </c>
      <c r="I2603" t="s">
        <v>18</v>
      </c>
      <c r="J2603" t="str">
        <f>"4383242622"</f>
        <v>4383242622</v>
      </c>
      <c r="K2603" t="s">
        <v>9412</v>
      </c>
      <c r="L2603" t="s">
        <v>86</v>
      </c>
      <c r="M2603" t="s">
        <v>21</v>
      </c>
    </row>
    <row r="2604" spans="1:13" x14ac:dyDescent="0.35">
      <c r="A2604" t="str">
        <f>"631-8343"</f>
        <v>631-8343</v>
      </c>
      <c r="B2604" t="s">
        <v>9413</v>
      </c>
      <c r="C2604" t="str">
        <f>"8985"</f>
        <v>8985</v>
      </c>
      <c r="E2604" t="s">
        <v>818</v>
      </c>
      <c r="F2604" t="s">
        <v>24</v>
      </c>
      <c r="G2604" t="s">
        <v>9414</v>
      </c>
      <c r="H2604" t="s">
        <v>17</v>
      </c>
      <c r="I2604" t="s">
        <v>18</v>
      </c>
      <c r="J2604" t="str">
        <f>"4386225632"</f>
        <v>4386225632</v>
      </c>
      <c r="K2604" t="s">
        <v>9415</v>
      </c>
      <c r="L2604" t="s">
        <v>874</v>
      </c>
      <c r="M2604" t="s">
        <v>21</v>
      </c>
    </row>
    <row r="2605" spans="1:13" x14ac:dyDescent="0.35">
      <c r="A2605" t="str">
        <f>"632-0032"</f>
        <v>632-0032</v>
      </c>
      <c r="B2605" t="s">
        <v>9416</v>
      </c>
      <c r="C2605" t="str">
        <f>"5881"</f>
        <v>5881</v>
      </c>
      <c r="E2605" t="s">
        <v>5563</v>
      </c>
      <c r="F2605" t="s">
        <v>24</v>
      </c>
      <c r="G2605" t="s">
        <v>5276</v>
      </c>
      <c r="H2605" t="s">
        <v>17</v>
      </c>
      <c r="I2605" t="s">
        <v>18</v>
      </c>
      <c r="J2605" t="str">
        <f>"5146644813"</f>
        <v>5146644813</v>
      </c>
      <c r="K2605" t="s">
        <v>9417</v>
      </c>
      <c r="L2605" t="s">
        <v>86</v>
      </c>
      <c r="M2605" t="s">
        <v>21</v>
      </c>
    </row>
    <row r="2606" spans="1:13" x14ac:dyDescent="0.35">
      <c r="A2606" t="str">
        <f>"632-3414"</f>
        <v>632-3414</v>
      </c>
      <c r="B2606" t="s">
        <v>9418</v>
      </c>
      <c r="C2606" t="str">
        <f>"247"</f>
        <v>247</v>
      </c>
      <c r="E2606" t="s">
        <v>9419</v>
      </c>
      <c r="F2606" t="s">
        <v>54</v>
      </c>
      <c r="G2606" t="s">
        <v>9420</v>
      </c>
      <c r="H2606" t="s">
        <v>17</v>
      </c>
      <c r="I2606" t="s">
        <v>18</v>
      </c>
      <c r="J2606" t="str">
        <f>"4385307576"</f>
        <v>4385307576</v>
      </c>
      <c r="K2606" t="s">
        <v>9421</v>
      </c>
      <c r="L2606" t="s">
        <v>86</v>
      </c>
      <c r="M2606" t="s">
        <v>21</v>
      </c>
    </row>
    <row r="2607" spans="1:13" x14ac:dyDescent="0.35">
      <c r="A2607" t="str">
        <f>"632-3740"</f>
        <v>632-3740</v>
      </c>
      <c r="B2607" t="s">
        <v>9422</v>
      </c>
      <c r="C2607" t="str">
        <f>"6730"</f>
        <v>6730</v>
      </c>
      <c r="E2607" t="s">
        <v>2523</v>
      </c>
      <c r="F2607" t="s">
        <v>24</v>
      </c>
      <c r="G2607" t="s">
        <v>9423</v>
      </c>
      <c r="H2607" t="s">
        <v>17</v>
      </c>
      <c r="I2607" t="s">
        <v>18</v>
      </c>
      <c r="J2607" t="str">
        <f>"4384628386"</f>
        <v>4384628386</v>
      </c>
      <c r="K2607" t="s">
        <v>9424</v>
      </c>
      <c r="L2607" t="s">
        <v>305</v>
      </c>
      <c r="M2607" t="s">
        <v>21</v>
      </c>
    </row>
    <row r="2608" spans="1:13" x14ac:dyDescent="0.35">
      <c r="A2608" t="str">
        <f>"632-3869"</f>
        <v>632-3869</v>
      </c>
      <c r="B2608" t="s">
        <v>9425</v>
      </c>
      <c r="C2608" t="str">
        <f>"4705"</f>
        <v>4705</v>
      </c>
      <c r="E2608" t="s">
        <v>5059</v>
      </c>
      <c r="F2608" t="s">
        <v>54</v>
      </c>
      <c r="G2608" t="s">
        <v>9426</v>
      </c>
      <c r="H2608" t="s">
        <v>17</v>
      </c>
      <c r="I2608" t="s">
        <v>18</v>
      </c>
      <c r="J2608" t="str">
        <f>"4385180930"</f>
        <v>4385180930</v>
      </c>
      <c r="K2608" t="s">
        <v>9427</v>
      </c>
      <c r="L2608" t="s">
        <v>86</v>
      </c>
      <c r="M2608" t="s">
        <v>21</v>
      </c>
    </row>
    <row r="2609" spans="1:13" x14ac:dyDescent="0.35">
      <c r="A2609" t="str">
        <f>"632-4234"</f>
        <v>632-4234</v>
      </c>
      <c r="B2609" t="s">
        <v>9428</v>
      </c>
      <c r="C2609" t="str">
        <f>"8584"</f>
        <v>8584</v>
      </c>
      <c r="E2609" t="s">
        <v>8662</v>
      </c>
      <c r="F2609" t="s">
        <v>24</v>
      </c>
      <c r="G2609" t="s">
        <v>4833</v>
      </c>
      <c r="H2609" t="s">
        <v>17</v>
      </c>
      <c r="I2609" t="s">
        <v>18</v>
      </c>
      <c r="J2609" t="str">
        <f>"5148090518"</f>
        <v>5148090518</v>
      </c>
      <c r="K2609" t="s">
        <v>9429</v>
      </c>
      <c r="L2609" t="s">
        <v>86</v>
      </c>
      <c r="M2609" t="s">
        <v>21</v>
      </c>
    </row>
    <row r="2610" spans="1:13" x14ac:dyDescent="0.35">
      <c r="A2610" t="str">
        <f>"634-0234"</f>
        <v>634-0234</v>
      </c>
      <c r="B2610" t="s">
        <v>9430</v>
      </c>
      <c r="C2610" t="str">
        <f>"8314"</f>
        <v>8314</v>
      </c>
      <c r="E2610" t="s">
        <v>9431</v>
      </c>
      <c r="F2610" t="s">
        <v>9432</v>
      </c>
      <c r="G2610" t="s">
        <v>9433</v>
      </c>
      <c r="H2610" t="s">
        <v>17</v>
      </c>
      <c r="I2610" t="s">
        <v>18</v>
      </c>
      <c r="J2610" t="str">
        <f>"5145596437"</f>
        <v>5145596437</v>
      </c>
      <c r="K2610" t="s">
        <v>9434</v>
      </c>
      <c r="L2610" t="s">
        <v>86</v>
      </c>
      <c r="M2610" t="s">
        <v>21</v>
      </c>
    </row>
    <row r="2611" spans="1:13" x14ac:dyDescent="0.35">
      <c r="A2611" t="str">
        <f>"206-5422"</f>
        <v>206-5422</v>
      </c>
      <c r="B2611" t="s">
        <v>9435</v>
      </c>
      <c r="C2611" t="str">
        <f>"32"</f>
        <v>32</v>
      </c>
      <c r="E2611" t="s">
        <v>2042</v>
      </c>
      <c r="F2611" t="s">
        <v>32</v>
      </c>
      <c r="G2611" t="s">
        <v>9436</v>
      </c>
      <c r="H2611" t="s">
        <v>17</v>
      </c>
      <c r="I2611" t="s">
        <v>18</v>
      </c>
      <c r="J2611" t="str">
        <f>"4385222152"</f>
        <v>4385222152</v>
      </c>
      <c r="K2611" t="s">
        <v>9437</v>
      </c>
      <c r="L2611" t="s">
        <v>86</v>
      </c>
      <c r="M2611" t="s">
        <v>21</v>
      </c>
    </row>
    <row r="2612" spans="1:13" x14ac:dyDescent="0.35">
      <c r="A2612" t="str">
        <f>"218-7752"</f>
        <v>218-7752</v>
      </c>
      <c r="B2612" t="s">
        <v>9438</v>
      </c>
      <c r="C2612" t="str">
        <f>"685"</f>
        <v>685</v>
      </c>
      <c r="E2612" t="s">
        <v>672</v>
      </c>
      <c r="F2612" t="s">
        <v>54</v>
      </c>
      <c r="G2612" t="s">
        <v>9439</v>
      </c>
      <c r="H2612" t="s">
        <v>17</v>
      </c>
      <c r="I2612" t="s">
        <v>18</v>
      </c>
      <c r="J2612" t="str">
        <f>"4385093813"</f>
        <v>4385093813</v>
      </c>
      <c r="K2612" t="s">
        <v>9440</v>
      </c>
      <c r="L2612" t="s">
        <v>869</v>
      </c>
      <c r="M2612" t="s">
        <v>21</v>
      </c>
    </row>
    <row r="2613" spans="1:13" x14ac:dyDescent="0.35">
      <c r="A2613" t="str">
        <f>"248-2668"</f>
        <v>248-2668</v>
      </c>
      <c r="B2613" t="s">
        <v>9441</v>
      </c>
      <c r="C2613" t="str">
        <f>"11948"</f>
        <v>11948</v>
      </c>
      <c r="E2613" t="s">
        <v>9442</v>
      </c>
      <c r="F2613" t="s">
        <v>24</v>
      </c>
      <c r="G2613" t="s">
        <v>9443</v>
      </c>
      <c r="H2613" t="s">
        <v>17</v>
      </c>
      <c r="I2613" t="s">
        <v>18</v>
      </c>
      <c r="J2613" t="str">
        <f>"2633882964"</f>
        <v>2633882964</v>
      </c>
      <c r="K2613" t="s">
        <v>9444</v>
      </c>
      <c r="L2613" t="s">
        <v>86</v>
      </c>
      <c r="M2613" t="s">
        <v>21</v>
      </c>
    </row>
    <row r="2614" spans="1:13" x14ac:dyDescent="0.35">
      <c r="A2614" t="str">
        <f>"248-7783"</f>
        <v>248-7783</v>
      </c>
      <c r="B2614" t="s">
        <v>9445</v>
      </c>
      <c r="C2614" t="str">
        <f>"6734"</f>
        <v>6734</v>
      </c>
      <c r="E2614" t="s">
        <v>9446</v>
      </c>
      <c r="F2614" t="s">
        <v>24</v>
      </c>
      <c r="G2614" t="s">
        <v>9447</v>
      </c>
      <c r="H2614" t="s">
        <v>17</v>
      </c>
      <c r="I2614" t="s">
        <v>18</v>
      </c>
      <c r="J2614" t="str">
        <f>"4385211457"</f>
        <v>4385211457</v>
      </c>
      <c r="K2614" t="s">
        <v>9448</v>
      </c>
      <c r="L2614" t="s">
        <v>207</v>
      </c>
      <c r="M2614" t="s">
        <v>21</v>
      </c>
    </row>
    <row r="2615" spans="1:13" x14ac:dyDescent="0.35">
      <c r="A2615" t="str">
        <f>"632-7505"</f>
        <v>632-7505</v>
      </c>
      <c r="B2615" t="s">
        <v>9449</v>
      </c>
      <c r="C2615" t="str">
        <f>"7191"</f>
        <v>7191</v>
      </c>
      <c r="E2615" t="s">
        <v>2081</v>
      </c>
      <c r="F2615" t="s">
        <v>40</v>
      </c>
      <c r="G2615" t="s">
        <v>9450</v>
      </c>
      <c r="H2615" t="s">
        <v>17</v>
      </c>
      <c r="I2615" t="s">
        <v>18</v>
      </c>
      <c r="J2615" t="str">
        <f>"4385402620"</f>
        <v>4385402620</v>
      </c>
      <c r="K2615" t="s">
        <v>9451</v>
      </c>
      <c r="L2615" t="s">
        <v>396</v>
      </c>
      <c r="M2615" t="s">
        <v>21</v>
      </c>
    </row>
    <row r="2616" spans="1:13" x14ac:dyDescent="0.35">
      <c r="A2616" t="str">
        <f>"632-7573"</f>
        <v>632-7573</v>
      </c>
      <c r="B2616" t="s">
        <v>9452</v>
      </c>
      <c r="C2616" t="str">
        <f>"7176"</f>
        <v>7176</v>
      </c>
      <c r="D2616" t="str">
        <f>"01"</f>
        <v>01</v>
      </c>
      <c r="E2616" t="s">
        <v>3523</v>
      </c>
      <c r="F2616" t="s">
        <v>24</v>
      </c>
      <c r="G2616" t="s">
        <v>9453</v>
      </c>
      <c r="H2616" t="s">
        <v>17</v>
      </c>
      <c r="I2616" t="s">
        <v>18</v>
      </c>
      <c r="J2616" t="str">
        <f>"5143127382"</f>
        <v>5143127382</v>
      </c>
      <c r="K2616" t="s">
        <v>9454</v>
      </c>
      <c r="L2616" t="s">
        <v>396</v>
      </c>
      <c r="M2616" t="s">
        <v>21</v>
      </c>
    </row>
    <row r="2617" spans="1:13" x14ac:dyDescent="0.35">
      <c r="A2617" t="str">
        <f>"633-2898"</f>
        <v>633-2898</v>
      </c>
      <c r="B2617" t="s">
        <v>9455</v>
      </c>
      <c r="C2617" t="str">
        <f>"8280"</f>
        <v>8280</v>
      </c>
      <c r="E2617" t="s">
        <v>9456</v>
      </c>
      <c r="F2617" t="s">
        <v>24</v>
      </c>
      <c r="G2617" t="s">
        <v>9457</v>
      </c>
      <c r="H2617" t="s">
        <v>17</v>
      </c>
      <c r="I2617" t="s">
        <v>18</v>
      </c>
      <c r="J2617" t="str">
        <f>"4384101318"</f>
        <v>4384101318</v>
      </c>
      <c r="K2617" t="s">
        <v>9458</v>
      </c>
      <c r="L2617" t="s">
        <v>86</v>
      </c>
      <c r="M2617" t="s">
        <v>21</v>
      </c>
    </row>
    <row r="2618" spans="1:13" x14ac:dyDescent="0.35">
      <c r="A2618" t="str">
        <f>"633-3045"</f>
        <v>633-3045</v>
      </c>
      <c r="B2618" t="s">
        <v>9459</v>
      </c>
      <c r="C2618" t="str">
        <f>"2450"</f>
        <v>2450</v>
      </c>
      <c r="E2618" t="s">
        <v>9460</v>
      </c>
      <c r="F2618" t="s">
        <v>24</v>
      </c>
      <c r="G2618" t="s">
        <v>9461</v>
      </c>
      <c r="H2618" t="s">
        <v>17</v>
      </c>
      <c r="I2618" t="s">
        <v>18</v>
      </c>
      <c r="J2618" t="str">
        <f>"5142448139"</f>
        <v>5142448139</v>
      </c>
      <c r="K2618" t="s">
        <v>9462</v>
      </c>
      <c r="L2618" t="s">
        <v>86</v>
      </c>
      <c r="M2618" t="s">
        <v>21</v>
      </c>
    </row>
    <row r="2619" spans="1:13" x14ac:dyDescent="0.35">
      <c r="A2619" t="str">
        <f>"633-3454"</f>
        <v>633-3454</v>
      </c>
      <c r="B2619" t="s">
        <v>9463</v>
      </c>
      <c r="C2619" t="str">
        <f>"5715"</f>
        <v>5715</v>
      </c>
      <c r="D2619" t="str">
        <f>"303"</f>
        <v>303</v>
      </c>
      <c r="E2619" t="s">
        <v>6943</v>
      </c>
      <c r="F2619" t="s">
        <v>24</v>
      </c>
      <c r="G2619" t="s">
        <v>9464</v>
      </c>
      <c r="H2619" t="s">
        <v>17</v>
      </c>
      <c r="I2619" t="s">
        <v>18</v>
      </c>
      <c r="J2619" t="str">
        <f>"4389256773"</f>
        <v>4389256773</v>
      </c>
      <c r="K2619" t="s">
        <v>9465</v>
      </c>
      <c r="L2619" t="s">
        <v>86</v>
      </c>
      <c r="M2619" t="s">
        <v>21</v>
      </c>
    </row>
    <row r="2620" spans="1:13" x14ac:dyDescent="0.35">
      <c r="A2620" t="str">
        <f>"634-4662"</f>
        <v>634-4662</v>
      </c>
      <c r="B2620" t="s">
        <v>9466</v>
      </c>
      <c r="C2620" t="str">
        <f>"117"</f>
        <v>117</v>
      </c>
      <c r="E2620" t="s">
        <v>9467</v>
      </c>
      <c r="F2620" t="s">
        <v>54</v>
      </c>
      <c r="G2620" t="s">
        <v>9468</v>
      </c>
      <c r="H2620" t="s">
        <v>17</v>
      </c>
      <c r="I2620" t="s">
        <v>18</v>
      </c>
      <c r="J2620" t="str">
        <f>"4387227012"</f>
        <v>4387227012</v>
      </c>
      <c r="K2620" t="s">
        <v>9469</v>
      </c>
      <c r="L2620" t="s">
        <v>168</v>
      </c>
      <c r="M2620" t="s">
        <v>21</v>
      </c>
    </row>
    <row r="2621" spans="1:13" x14ac:dyDescent="0.35">
      <c r="A2621" t="str">
        <f>"214-6305"</f>
        <v>214-6305</v>
      </c>
      <c r="B2621" t="s">
        <v>9470</v>
      </c>
      <c r="C2621" t="str">
        <f>"4590"</f>
        <v>4590</v>
      </c>
      <c r="D2621" t="str">
        <f>"8"</f>
        <v>8</v>
      </c>
      <c r="E2621" t="s">
        <v>67</v>
      </c>
      <c r="F2621" t="s">
        <v>24</v>
      </c>
      <c r="G2621" t="s">
        <v>9471</v>
      </c>
      <c r="H2621" t="s">
        <v>17</v>
      </c>
      <c r="I2621" t="s">
        <v>18</v>
      </c>
      <c r="J2621" t="str">
        <f>"4508981738"</f>
        <v>4508981738</v>
      </c>
      <c r="K2621" t="s">
        <v>9472</v>
      </c>
      <c r="L2621" t="s">
        <v>137</v>
      </c>
      <c r="M2621" t="s">
        <v>21</v>
      </c>
    </row>
    <row r="2622" spans="1:13" x14ac:dyDescent="0.35">
      <c r="A2622" t="str">
        <f>"214-7226"</f>
        <v>214-7226</v>
      </c>
      <c r="B2622" t="s">
        <v>9473</v>
      </c>
      <c r="C2622" t="str">
        <f>"5525"</f>
        <v>5525</v>
      </c>
      <c r="D2622" t="str">
        <f>"202"</f>
        <v>202</v>
      </c>
      <c r="E2622" t="s">
        <v>5039</v>
      </c>
      <c r="F2622" t="s">
        <v>3004</v>
      </c>
      <c r="G2622" t="s">
        <v>5040</v>
      </c>
      <c r="H2622" t="s">
        <v>17</v>
      </c>
      <c r="I2622" t="s">
        <v>18</v>
      </c>
      <c r="J2622" t="str">
        <f>"4389854302"</f>
        <v>4389854302</v>
      </c>
      <c r="K2622" t="s">
        <v>9474</v>
      </c>
      <c r="L2622" t="s">
        <v>137</v>
      </c>
      <c r="M2622" t="s">
        <v>21</v>
      </c>
    </row>
    <row r="2623" spans="1:13" x14ac:dyDescent="0.35">
      <c r="A2623" t="str">
        <f>"226-0398"</f>
        <v>226-0398</v>
      </c>
      <c r="B2623" t="s">
        <v>9475</v>
      </c>
      <c r="C2623" t="str">
        <f>"10974"</f>
        <v>10974</v>
      </c>
      <c r="D2623" t="str">
        <f>"1"</f>
        <v>1</v>
      </c>
      <c r="E2623" t="s">
        <v>9476</v>
      </c>
      <c r="F2623" t="s">
        <v>24</v>
      </c>
      <c r="G2623" t="s">
        <v>9477</v>
      </c>
      <c r="H2623" t="s">
        <v>17</v>
      </c>
      <c r="I2623" t="s">
        <v>18</v>
      </c>
      <c r="J2623" t="str">
        <f>"4384839799"</f>
        <v>4384839799</v>
      </c>
      <c r="K2623" t="s">
        <v>9478</v>
      </c>
      <c r="L2623" t="s">
        <v>168</v>
      </c>
      <c r="M2623" t="s">
        <v>21</v>
      </c>
    </row>
    <row r="2624" spans="1:13" x14ac:dyDescent="0.35">
      <c r="A2624" t="str">
        <f>"228-8752"</f>
        <v>228-8752</v>
      </c>
      <c r="B2624" t="s">
        <v>9479</v>
      </c>
      <c r="C2624" t="str">
        <f>"5265"</f>
        <v>5265</v>
      </c>
      <c r="E2624" t="s">
        <v>1283</v>
      </c>
      <c r="F2624" t="s">
        <v>24</v>
      </c>
      <c r="G2624" t="s">
        <v>9480</v>
      </c>
      <c r="H2624" t="s">
        <v>17</v>
      </c>
      <c r="I2624" t="s">
        <v>18</v>
      </c>
      <c r="J2624" t="str">
        <f>"5144436055"</f>
        <v>5144436055</v>
      </c>
      <c r="K2624" t="s">
        <v>9481</v>
      </c>
      <c r="L2624" t="s">
        <v>396</v>
      </c>
      <c r="M2624" t="s">
        <v>21</v>
      </c>
    </row>
    <row r="2625" spans="1:13" x14ac:dyDescent="0.35">
      <c r="A2625" t="str">
        <f>"246-6216"</f>
        <v>246-6216</v>
      </c>
      <c r="B2625" t="s">
        <v>9482</v>
      </c>
      <c r="C2625" t="str">
        <f>"2873"</f>
        <v>2873</v>
      </c>
      <c r="E2625" t="s">
        <v>9483</v>
      </c>
      <c r="F2625" t="s">
        <v>24</v>
      </c>
      <c r="G2625" t="s">
        <v>9484</v>
      </c>
      <c r="H2625" t="s">
        <v>17</v>
      </c>
      <c r="I2625" t="s">
        <v>18</v>
      </c>
      <c r="J2625" t="str">
        <f>"4385401598"</f>
        <v>4385401598</v>
      </c>
      <c r="K2625" t="s">
        <v>9485</v>
      </c>
      <c r="L2625" t="s">
        <v>396</v>
      </c>
      <c r="M2625" t="s">
        <v>21</v>
      </c>
    </row>
    <row r="2626" spans="1:13" x14ac:dyDescent="0.35">
      <c r="A2626" t="str">
        <f>"619-4566"</f>
        <v>619-4566</v>
      </c>
      <c r="B2626" t="s">
        <v>9486</v>
      </c>
      <c r="C2626" t="str">
        <f>"5761"</f>
        <v>5761</v>
      </c>
      <c r="E2626" t="s">
        <v>3200</v>
      </c>
      <c r="F2626" t="s">
        <v>24</v>
      </c>
      <c r="G2626" t="s">
        <v>9226</v>
      </c>
      <c r="H2626" t="s">
        <v>17</v>
      </c>
      <c r="I2626" t="s">
        <v>18</v>
      </c>
      <c r="J2626" t="str">
        <f>"4385020471"</f>
        <v>4385020471</v>
      </c>
      <c r="K2626" t="s">
        <v>9487</v>
      </c>
      <c r="L2626" t="s">
        <v>86</v>
      </c>
      <c r="M2626" t="s">
        <v>21</v>
      </c>
    </row>
    <row r="2627" spans="1:13" x14ac:dyDescent="0.35">
      <c r="A2627" t="str">
        <f>"630-0847"</f>
        <v>630-0847</v>
      </c>
      <c r="B2627" t="s">
        <v>9488</v>
      </c>
      <c r="C2627" t="str">
        <f>"3495"</f>
        <v>3495</v>
      </c>
      <c r="D2627" t="str">
        <f>"5"</f>
        <v>5</v>
      </c>
      <c r="E2627" t="s">
        <v>9489</v>
      </c>
      <c r="F2627" t="s">
        <v>54</v>
      </c>
      <c r="G2627" t="s">
        <v>9490</v>
      </c>
      <c r="H2627" t="s">
        <v>17</v>
      </c>
      <c r="I2627" t="s">
        <v>18</v>
      </c>
      <c r="J2627" t="str">
        <f>"4506841819"</f>
        <v>4506841819</v>
      </c>
      <c r="K2627" t="s">
        <v>9491</v>
      </c>
      <c r="L2627" t="s">
        <v>396</v>
      </c>
      <c r="M2627" t="s">
        <v>21</v>
      </c>
    </row>
    <row r="2628" spans="1:13" x14ac:dyDescent="0.35">
      <c r="A2628" t="str">
        <f>"630-4021"</f>
        <v>630-4021</v>
      </c>
      <c r="B2628" t="s">
        <v>9492</v>
      </c>
      <c r="C2628" t="str">
        <f>"780"</f>
        <v>780</v>
      </c>
      <c r="E2628" t="s">
        <v>1884</v>
      </c>
      <c r="F2628" t="s">
        <v>24</v>
      </c>
      <c r="G2628" t="s">
        <v>9493</v>
      </c>
      <c r="H2628" t="s">
        <v>17</v>
      </c>
      <c r="I2628" t="s">
        <v>18</v>
      </c>
      <c r="J2628" t="str">
        <f>"4383891553"</f>
        <v>4383891553</v>
      </c>
      <c r="K2628" t="s">
        <v>9494</v>
      </c>
      <c r="L2628" t="s">
        <v>305</v>
      </c>
      <c r="M2628" t="s">
        <v>21</v>
      </c>
    </row>
    <row r="2629" spans="1:13" x14ac:dyDescent="0.35">
      <c r="A2629" t="str">
        <f>"630-9644"</f>
        <v>630-9644</v>
      </c>
      <c r="B2629" t="s">
        <v>9495</v>
      </c>
      <c r="C2629" t="str">
        <f>"1222"</f>
        <v>1222</v>
      </c>
      <c r="E2629" t="s">
        <v>8135</v>
      </c>
      <c r="F2629" t="s">
        <v>54</v>
      </c>
      <c r="G2629" t="s">
        <v>8136</v>
      </c>
      <c r="H2629" t="s">
        <v>17</v>
      </c>
      <c r="I2629" t="s">
        <v>18</v>
      </c>
      <c r="J2629" t="str">
        <f>"5148258528"</f>
        <v>5148258528</v>
      </c>
      <c r="K2629" t="s">
        <v>9496</v>
      </c>
      <c r="L2629" t="s">
        <v>86</v>
      </c>
      <c r="M2629" t="s">
        <v>21</v>
      </c>
    </row>
    <row r="2630" spans="1:13" x14ac:dyDescent="0.35">
      <c r="A2630" t="str">
        <f>"633-8323"</f>
        <v>633-8323</v>
      </c>
      <c r="B2630" t="s">
        <v>9497</v>
      </c>
      <c r="C2630" t="str">
        <f>"6311"</f>
        <v>6311</v>
      </c>
      <c r="D2630" t="str">
        <f>"8"</f>
        <v>8</v>
      </c>
      <c r="E2630" t="s">
        <v>9498</v>
      </c>
      <c r="F2630" t="s">
        <v>24</v>
      </c>
      <c r="G2630" t="s">
        <v>549</v>
      </c>
      <c r="H2630" t="s">
        <v>17</v>
      </c>
      <c r="I2630" t="s">
        <v>18</v>
      </c>
      <c r="J2630" t="str">
        <f>"4388363876"</f>
        <v>4388363876</v>
      </c>
      <c r="K2630" t="s">
        <v>9499</v>
      </c>
      <c r="L2630" t="s">
        <v>86</v>
      </c>
      <c r="M2630" t="s">
        <v>21</v>
      </c>
    </row>
    <row r="2631" spans="1:13" x14ac:dyDescent="0.35">
      <c r="A2631" t="str">
        <f>"633-8594"</f>
        <v>633-8594</v>
      </c>
      <c r="B2631" t="s">
        <v>9500</v>
      </c>
      <c r="C2631" t="str">
        <f>"1855"</f>
        <v>1855</v>
      </c>
      <c r="D2631" t="str">
        <f>"808"</f>
        <v>808</v>
      </c>
      <c r="E2631" t="s">
        <v>3726</v>
      </c>
      <c r="F2631" t="s">
        <v>24</v>
      </c>
      <c r="G2631" t="s">
        <v>5620</v>
      </c>
      <c r="H2631" t="s">
        <v>17</v>
      </c>
      <c r="I2631" t="s">
        <v>18</v>
      </c>
      <c r="J2631" t="str">
        <f>"5142391321"</f>
        <v>5142391321</v>
      </c>
      <c r="K2631" t="s">
        <v>9501</v>
      </c>
      <c r="L2631" t="s">
        <v>86</v>
      </c>
      <c r="M2631" t="s">
        <v>21</v>
      </c>
    </row>
    <row r="2632" spans="1:13" x14ac:dyDescent="0.35">
      <c r="A2632" t="str">
        <f>"634-3994"</f>
        <v>634-3994</v>
      </c>
      <c r="B2632" t="s">
        <v>9502</v>
      </c>
      <c r="C2632" t="str">
        <f>"1555"</f>
        <v>1555</v>
      </c>
      <c r="D2632" t="str">
        <f>"501"</f>
        <v>501</v>
      </c>
      <c r="E2632" t="s">
        <v>9503</v>
      </c>
      <c r="F2632" t="s">
        <v>54</v>
      </c>
      <c r="G2632" t="s">
        <v>9504</v>
      </c>
      <c r="H2632" t="s">
        <v>17</v>
      </c>
      <c r="I2632" t="s">
        <v>18</v>
      </c>
      <c r="J2632" t="str">
        <f>"4383971362"</f>
        <v>4383971362</v>
      </c>
      <c r="K2632" t="s">
        <v>9505</v>
      </c>
      <c r="L2632" t="s">
        <v>396</v>
      </c>
      <c r="M2632" t="s">
        <v>21</v>
      </c>
    </row>
    <row r="2633" spans="1:13" x14ac:dyDescent="0.35">
      <c r="A2633" t="str">
        <f>"634-4363"</f>
        <v>634-4363</v>
      </c>
      <c r="B2633" t="s">
        <v>9506</v>
      </c>
      <c r="C2633" t="str">
        <f>"5955"</f>
        <v>5955</v>
      </c>
      <c r="D2633" t="str">
        <f>"6"</f>
        <v>6</v>
      </c>
      <c r="E2633" t="s">
        <v>485</v>
      </c>
      <c r="F2633" t="s">
        <v>24</v>
      </c>
      <c r="G2633" t="s">
        <v>6285</v>
      </c>
      <c r="H2633" t="s">
        <v>17</v>
      </c>
      <c r="I2633" t="s">
        <v>18</v>
      </c>
      <c r="J2633" t="str">
        <f>"4386996619"</f>
        <v>4386996619</v>
      </c>
      <c r="K2633" t="s">
        <v>9507</v>
      </c>
      <c r="L2633" t="s">
        <v>396</v>
      </c>
      <c r="M2633" t="s">
        <v>21</v>
      </c>
    </row>
    <row r="2634" spans="1:13" x14ac:dyDescent="0.35">
      <c r="A2634" t="str">
        <f>"634-6944"</f>
        <v>634-6944</v>
      </c>
      <c r="B2634" t="s">
        <v>9508</v>
      </c>
      <c r="C2634" t="str">
        <f>"2070"</f>
        <v>2070</v>
      </c>
      <c r="D2634" t="str">
        <f>"86"</f>
        <v>86</v>
      </c>
      <c r="E2634" t="s">
        <v>9509</v>
      </c>
      <c r="F2634" t="s">
        <v>24</v>
      </c>
      <c r="G2634" t="s">
        <v>9510</v>
      </c>
      <c r="H2634" t="s">
        <v>17</v>
      </c>
      <c r="I2634" t="s">
        <v>18</v>
      </c>
      <c r="J2634" t="str">
        <f>"8194485059"</f>
        <v>8194485059</v>
      </c>
      <c r="K2634" t="s">
        <v>9511</v>
      </c>
      <c r="L2634" t="s">
        <v>39</v>
      </c>
      <c r="M2634" t="s">
        <v>21</v>
      </c>
    </row>
    <row r="2635" spans="1:13" x14ac:dyDescent="0.35">
      <c r="A2635" t="str">
        <f>"634-7050"</f>
        <v>634-7050</v>
      </c>
      <c r="B2635" t="s">
        <v>9512</v>
      </c>
      <c r="C2635" t="str">
        <f>"9975"</f>
        <v>9975</v>
      </c>
      <c r="D2635" t="str">
        <f>"105"</f>
        <v>105</v>
      </c>
      <c r="E2635" t="s">
        <v>6839</v>
      </c>
      <c r="F2635" t="s">
        <v>24</v>
      </c>
      <c r="G2635" t="s">
        <v>9513</v>
      </c>
      <c r="H2635" t="s">
        <v>17</v>
      </c>
      <c r="I2635" t="s">
        <v>18</v>
      </c>
      <c r="J2635" t="str">
        <f>"4382264017"</f>
        <v>4382264017</v>
      </c>
      <c r="K2635" t="s">
        <v>9514</v>
      </c>
      <c r="L2635" t="s">
        <v>869</v>
      </c>
      <c r="M2635" t="s">
        <v>21</v>
      </c>
    </row>
    <row r="2636" spans="1:13" x14ac:dyDescent="0.35">
      <c r="A2636" t="str">
        <f>"634-7517"</f>
        <v>634-7517</v>
      </c>
      <c r="B2636" t="s">
        <v>9515</v>
      </c>
      <c r="C2636" t="str">
        <f>"6471"</f>
        <v>6471</v>
      </c>
      <c r="E2636" t="s">
        <v>9516</v>
      </c>
      <c r="F2636" t="s">
        <v>143</v>
      </c>
      <c r="G2636" t="s">
        <v>9517</v>
      </c>
      <c r="H2636" t="s">
        <v>17</v>
      </c>
      <c r="I2636" t="s">
        <v>18</v>
      </c>
      <c r="J2636" t="str">
        <f>"5142440637"</f>
        <v>5142440637</v>
      </c>
      <c r="K2636" t="s">
        <v>9518</v>
      </c>
      <c r="L2636" t="s">
        <v>86</v>
      </c>
      <c r="M2636" t="s">
        <v>21</v>
      </c>
    </row>
    <row r="2637" spans="1:13" x14ac:dyDescent="0.35">
      <c r="A2637" t="str">
        <f>"631-8309"</f>
        <v>631-8309</v>
      </c>
      <c r="B2637" t="s">
        <v>9519</v>
      </c>
      <c r="C2637" t="str">
        <f>"2805"</f>
        <v>2805</v>
      </c>
      <c r="D2637" t="str">
        <f>"01"</f>
        <v>01</v>
      </c>
      <c r="E2637" t="s">
        <v>9520</v>
      </c>
      <c r="F2637" t="s">
        <v>24</v>
      </c>
      <c r="G2637" t="s">
        <v>9521</v>
      </c>
      <c r="H2637" t="s">
        <v>17</v>
      </c>
      <c r="I2637" t="s">
        <v>18</v>
      </c>
      <c r="J2637" t="str">
        <f>"5146537034"</f>
        <v>5146537034</v>
      </c>
      <c r="K2637" t="s">
        <v>9522</v>
      </c>
      <c r="L2637" t="s">
        <v>86</v>
      </c>
      <c r="M2637" t="s">
        <v>21</v>
      </c>
    </row>
    <row r="2638" spans="1:13" x14ac:dyDescent="0.35">
      <c r="A2638" t="str">
        <f>"632-1609"</f>
        <v>632-1609</v>
      </c>
      <c r="B2638" t="s">
        <v>9523</v>
      </c>
      <c r="C2638" t="str">
        <f>"4038"</f>
        <v>4038</v>
      </c>
      <c r="E2638" t="s">
        <v>9524</v>
      </c>
      <c r="F2638" t="s">
        <v>54</v>
      </c>
      <c r="G2638" t="s">
        <v>9525</v>
      </c>
      <c r="H2638" t="s">
        <v>17</v>
      </c>
      <c r="I2638" t="s">
        <v>18</v>
      </c>
      <c r="J2638" t="str">
        <f>"4388366286"</f>
        <v>4388366286</v>
      </c>
      <c r="K2638" t="s">
        <v>9526</v>
      </c>
      <c r="L2638" t="s">
        <v>396</v>
      </c>
      <c r="M2638" t="s">
        <v>21</v>
      </c>
    </row>
    <row r="2639" spans="1:13" x14ac:dyDescent="0.35">
      <c r="A2639" t="str">
        <f>"218-0440"</f>
        <v>218-0440</v>
      </c>
      <c r="B2639" t="s">
        <v>9527</v>
      </c>
      <c r="C2639" t="str">
        <f>"4467"</f>
        <v>4467</v>
      </c>
      <c r="E2639" t="s">
        <v>9528</v>
      </c>
      <c r="F2639" t="s">
        <v>24</v>
      </c>
      <c r="G2639" t="s">
        <v>9529</v>
      </c>
      <c r="H2639" t="s">
        <v>17</v>
      </c>
      <c r="I2639" t="s">
        <v>18</v>
      </c>
      <c r="J2639" t="str">
        <f>"5146997551"</f>
        <v>5146997551</v>
      </c>
      <c r="K2639" t="s">
        <v>9530</v>
      </c>
      <c r="L2639" t="s">
        <v>86</v>
      </c>
      <c r="M2639" t="s">
        <v>21</v>
      </c>
    </row>
    <row r="2640" spans="1:13" x14ac:dyDescent="0.35">
      <c r="A2640" t="str">
        <f>"218-1767"</f>
        <v>218-1767</v>
      </c>
      <c r="B2640" t="s">
        <v>9531</v>
      </c>
      <c r="C2640" t="str">
        <f>"5455"</f>
        <v>5455</v>
      </c>
      <c r="E2640" t="s">
        <v>2094</v>
      </c>
      <c r="F2640" t="s">
        <v>24</v>
      </c>
      <c r="G2640" t="s">
        <v>9532</v>
      </c>
      <c r="H2640" t="s">
        <v>17</v>
      </c>
      <c r="I2640" t="s">
        <v>18</v>
      </c>
      <c r="J2640" t="str">
        <f>"4389264213"</f>
        <v>4389264213</v>
      </c>
      <c r="K2640" t="s">
        <v>9533</v>
      </c>
      <c r="L2640" t="s">
        <v>396</v>
      </c>
      <c r="M2640" t="s">
        <v>21</v>
      </c>
    </row>
    <row r="2641" spans="1:13" x14ac:dyDescent="0.35">
      <c r="A2641" t="str">
        <f>"218-2372"</f>
        <v>218-2372</v>
      </c>
      <c r="B2641" t="s">
        <v>9534</v>
      </c>
      <c r="C2641" t="str">
        <f>"1855"</f>
        <v>1855</v>
      </c>
      <c r="D2641" t="str">
        <f>"218237"</f>
        <v>218237</v>
      </c>
      <c r="E2641" t="s">
        <v>3726</v>
      </c>
      <c r="F2641" t="s">
        <v>24</v>
      </c>
      <c r="G2641" t="s">
        <v>5620</v>
      </c>
      <c r="H2641" t="s">
        <v>17</v>
      </c>
      <c r="I2641" t="s">
        <v>18</v>
      </c>
      <c r="J2641" t="str">
        <f>"5148934038"</f>
        <v>5148934038</v>
      </c>
      <c r="K2641" t="s">
        <v>9535</v>
      </c>
      <c r="L2641" t="s">
        <v>86</v>
      </c>
      <c r="M2641" t="s">
        <v>21</v>
      </c>
    </row>
    <row r="2642" spans="1:13" x14ac:dyDescent="0.35">
      <c r="A2642" t="str">
        <f>"236-8394"</f>
        <v>236-8394</v>
      </c>
      <c r="B2642" t="s">
        <v>9536</v>
      </c>
      <c r="C2642" t="str">
        <f>"3289"</f>
        <v>3289</v>
      </c>
      <c r="D2642" t="str">
        <f>"3289"</f>
        <v>3289</v>
      </c>
      <c r="E2642" t="s">
        <v>9537</v>
      </c>
      <c r="F2642" t="s">
        <v>24</v>
      </c>
      <c r="G2642" t="s">
        <v>9538</v>
      </c>
      <c r="H2642" t="s">
        <v>17</v>
      </c>
      <c r="I2642" t="s">
        <v>18</v>
      </c>
      <c r="J2642" t="str">
        <f>"4382334763"</f>
        <v>4382334763</v>
      </c>
      <c r="K2642" t="s">
        <v>9539</v>
      </c>
      <c r="L2642" t="s">
        <v>137</v>
      </c>
      <c r="M2642" t="s">
        <v>21</v>
      </c>
    </row>
    <row r="2643" spans="1:13" x14ac:dyDescent="0.35">
      <c r="A2643" t="str">
        <f>"237-7379"</f>
        <v>237-7379</v>
      </c>
      <c r="B2643" t="s">
        <v>9540</v>
      </c>
      <c r="C2643" t="str">
        <f>"10100"</f>
        <v>10100</v>
      </c>
      <c r="D2643" t="str">
        <f>"510"</f>
        <v>510</v>
      </c>
      <c r="E2643" t="s">
        <v>9541</v>
      </c>
      <c r="F2643" t="s">
        <v>24</v>
      </c>
      <c r="G2643" t="s">
        <v>9542</v>
      </c>
      <c r="H2643" t="s">
        <v>17</v>
      </c>
      <c r="I2643" t="s">
        <v>18</v>
      </c>
      <c r="J2643" t="str">
        <f>"4389956356"</f>
        <v>4389956356</v>
      </c>
      <c r="K2643" t="s">
        <v>9543</v>
      </c>
      <c r="L2643" t="s">
        <v>198</v>
      </c>
      <c r="M2643" t="s">
        <v>21</v>
      </c>
    </row>
    <row r="2644" spans="1:13" x14ac:dyDescent="0.35">
      <c r="A2644" t="str">
        <f>"248-0603"</f>
        <v>248-0603</v>
      </c>
      <c r="B2644" t="s">
        <v>9544</v>
      </c>
      <c r="C2644" t="str">
        <f>"12479"</f>
        <v>12479</v>
      </c>
      <c r="D2644" t="str">
        <f>"1"</f>
        <v>1</v>
      </c>
      <c r="E2644" t="s">
        <v>3691</v>
      </c>
      <c r="F2644" t="s">
        <v>24</v>
      </c>
      <c r="G2644" t="s">
        <v>9545</v>
      </c>
      <c r="H2644" t="s">
        <v>17</v>
      </c>
      <c r="I2644" t="s">
        <v>18</v>
      </c>
      <c r="J2644" t="str">
        <f>"5145813992"</f>
        <v>5145813992</v>
      </c>
      <c r="K2644" t="s">
        <v>9546</v>
      </c>
      <c r="L2644" t="s">
        <v>396</v>
      </c>
      <c r="M2644" t="s">
        <v>21</v>
      </c>
    </row>
    <row r="2645" spans="1:13" x14ac:dyDescent="0.35">
      <c r="A2645" t="str">
        <f>"625-1684"</f>
        <v>625-1684</v>
      </c>
      <c r="B2645" t="s">
        <v>9547</v>
      </c>
      <c r="C2645" t="str">
        <f>"7672"</f>
        <v>7672</v>
      </c>
      <c r="E2645" t="s">
        <v>9548</v>
      </c>
      <c r="F2645" t="s">
        <v>24</v>
      </c>
      <c r="G2645" t="s">
        <v>9549</v>
      </c>
      <c r="H2645" t="s">
        <v>17</v>
      </c>
      <c r="I2645" t="s">
        <v>18</v>
      </c>
      <c r="J2645" t="str">
        <f>"5146252965"</f>
        <v>5146252965</v>
      </c>
      <c r="K2645" t="s">
        <v>9550</v>
      </c>
      <c r="L2645" t="s">
        <v>86</v>
      </c>
      <c r="M2645" t="s">
        <v>21</v>
      </c>
    </row>
    <row r="2646" spans="1:13" x14ac:dyDescent="0.35">
      <c r="A2646" t="str">
        <f>"625-3079"</f>
        <v>625-3079</v>
      </c>
      <c r="B2646" t="s">
        <v>9551</v>
      </c>
      <c r="C2646" t="str">
        <f>"5176"</f>
        <v>5176</v>
      </c>
      <c r="E2646" t="s">
        <v>496</v>
      </c>
      <c r="F2646" t="s">
        <v>24</v>
      </c>
      <c r="G2646" t="s">
        <v>497</v>
      </c>
      <c r="H2646" t="s">
        <v>17</v>
      </c>
      <c r="I2646" t="s">
        <v>18</v>
      </c>
      <c r="J2646" t="str">
        <f>"4389210035"</f>
        <v>4389210035</v>
      </c>
      <c r="K2646" t="s">
        <v>9552</v>
      </c>
      <c r="L2646" t="s">
        <v>313</v>
      </c>
      <c r="M2646" t="s">
        <v>21</v>
      </c>
    </row>
    <row r="2647" spans="1:13" x14ac:dyDescent="0.35">
      <c r="A2647" t="str">
        <f>"625-5753"</f>
        <v>625-5753</v>
      </c>
      <c r="B2647" t="s">
        <v>9553</v>
      </c>
      <c r="C2647" t="str">
        <f>"6729"</f>
        <v>6729</v>
      </c>
      <c r="E2647" t="s">
        <v>6468</v>
      </c>
      <c r="F2647" t="s">
        <v>24</v>
      </c>
      <c r="G2647" t="s">
        <v>9554</v>
      </c>
      <c r="H2647" t="s">
        <v>17</v>
      </c>
      <c r="I2647" t="s">
        <v>18</v>
      </c>
      <c r="J2647" t="str">
        <f>"5147566745"</f>
        <v>5147566745</v>
      </c>
      <c r="K2647" t="s">
        <v>9555</v>
      </c>
      <c r="L2647" t="s">
        <v>137</v>
      </c>
      <c r="M2647" t="s">
        <v>21</v>
      </c>
    </row>
    <row r="2648" spans="1:13" x14ac:dyDescent="0.35">
      <c r="A2648" t="str">
        <f>"203-9600"</f>
        <v>203-9600</v>
      </c>
      <c r="B2648" t="s">
        <v>9556</v>
      </c>
      <c r="C2648" t="str">
        <f>"6905"</f>
        <v>6905</v>
      </c>
      <c r="D2648" t="str">
        <f>"4"</f>
        <v>4</v>
      </c>
      <c r="E2648" t="s">
        <v>9557</v>
      </c>
      <c r="F2648" t="s">
        <v>40</v>
      </c>
      <c r="G2648" t="s">
        <v>9558</v>
      </c>
      <c r="H2648" t="s">
        <v>17</v>
      </c>
      <c r="I2648" t="s">
        <v>18</v>
      </c>
      <c r="J2648" t="str">
        <f>"5149167282"</f>
        <v>5149167282</v>
      </c>
      <c r="K2648" t="s">
        <v>9559</v>
      </c>
      <c r="L2648" t="s">
        <v>466</v>
      </c>
      <c r="M2648" t="s">
        <v>21</v>
      </c>
    </row>
    <row r="2649" spans="1:13" x14ac:dyDescent="0.35">
      <c r="A2649" t="str">
        <f>"225-4737"</f>
        <v>225-4737</v>
      </c>
      <c r="B2649" t="s">
        <v>9560</v>
      </c>
      <c r="C2649" t="str">
        <f>"6110"</f>
        <v>6110</v>
      </c>
      <c r="E2649" t="s">
        <v>1055</v>
      </c>
      <c r="F2649" t="s">
        <v>24</v>
      </c>
      <c r="G2649" t="s">
        <v>9561</v>
      </c>
      <c r="H2649" t="s">
        <v>17</v>
      </c>
      <c r="I2649" t="s">
        <v>18</v>
      </c>
      <c r="J2649" t="str">
        <f>"5142489687"</f>
        <v>5142489687</v>
      </c>
      <c r="K2649" t="s">
        <v>9562</v>
      </c>
      <c r="L2649" t="s">
        <v>137</v>
      </c>
      <c r="M2649" t="s">
        <v>21</v>
      </c>
    </row>
    <row r="2650" spans="1:13" x14ac:dyDescent="0.35">
      <c r="A2650" t="str">
        <f>"225-5387"</f>
        <v>225-5387</v>
      </c>
      <c r="B2650" t="s">
        <v>9563</v>
      </c>
      <c r="C2650" t="str">
        <f>"1383"</f>
        <v>1383</v>
      </c>
      <c r="E2650" t="s">
        <v>6152</v>
      </c>
      <c r="F2650" t="s">
        <v>54</v>
      </c>
      <c r="G2650" t="s">
        <v>9564</v>
      </c>
      <c r="H2650" t="s">
        <v>17</v>
      </c>
      <c r="I2650" t="s">
        <v>18</v>
      </c>
      <c r="J2650" t="str">
        <f>"5145661383"</f>
        <v>5145661383</v>
      </c>
      <c r="K2650" t="s">
        <v>9565</v>
      </c>
      <c r="L2650" t="s">
        <v>86</v>
      </c>
      <c r="M2650" t="s">
        <v>21</v>
      </c>
    </row>
    <row r="2651" spans="1:13" x14ac:dyDescent="0.35">
      <c r="A2651" t="str">
        <f>"613-8055"</f>
        <v>613-8055</v>
      </c>
      <c r="B2651" t="s">
        <v>9566</v>
      </c>
      <c r="C2651" t="str">
        <f>"4555"</f>
        <v>4555</v>
      </c>
      <c r="D2651" t="str">
        <f>"A"</f>
        <v>A</v>
      </c>
      <c r="E2651" t="s">
        <v>9567</v>
      </c>
      <c r="F2651" t="s">
        <v>24</v>
      </c>
      <c r="G2651" t="s">
        <v>9568</v>
      </c>
      <c r="H2651" t="s">
        <v>17</v>
      </c>
      <c r="I2651" t="s">
        <v>18</v>
      </c>
      <c r="J2651" t="str">
        <f>"8192906737"</f>
        <v>8192906737</v>
      </c>
      <c r="K2651" t="s">
        <v>9569</v>
      </c>
      <c r="L2651" t="s">
        <v>313</v>
      </c>
      <c r="M2651" t="s">
        <v>21</v>
      </c>
    </row>
    <row r="2652" spans="1:13" x14ac:dyDescent="0.35">
      <c r="A2652" t="str">
        <f>"629-6178"</f>
        <v>629-6178</v>
      </c>
      <c r="B2652" t="s">
        <v>9570</v>
      </c>
      <c r="C2652" t="str">
        <f>"5611"</f>
        <v>5611</v>
      </c>
      <c r="D2652" t="str">
        <f>"1"</f>
        <v>1</v>
      </c>
      <c r="E2652" t="s">
        <v>9571</v>
      </c>
      <c r="F2652" t="s">
        <v>24</v>
      </c>
      <c r="G2652" t="s">
        <v>9572</v>
      </c>
      <c r="H2652" t="s">
        <v>17</v>
      </c>
      <c r="I2652" t="s">
        <v>18</v>
      </c>
      <c r="J2652" t="str">
        <f>"5147222069"</f>
        <v>5147222069</v>
      </c>
      <c r="K2652" t="s">
        <v>9573</v>
      </c>
      <c r="L2652" t="s">
        <v>396</v>
      </c>
      <c r="M2652" t="s">
        <v>21</v>
      </c>
    </row>
    <row r="2653" spans="1:13" x14ac:dyDescent="0.35">
      <c r="A2653" t="str">
        <f>"630-9189"</f>
        <v>630-9189</v>
      </c>
      <c r="B2653" t="s">
        <v>9574</v>
      </c>
      <c r="C2653" t="str">
        <f>"5840"</f>
        <v>5840</v>
      </c>
      <c r="D2653" t="str">
        <f>"12"</f>
        <v>12</v>
      </c>
      <c r="E2653" t="s">
        <v>9575</v>
      </c>
      <c r="F2653" t="s">
        <v>24</v>
      </c>
      <c r="G2653" t="s">
        <v>9576</v>
      </c>
      <c r="H2653" t="s">
        <v>17</v>
      </c>
      <c r="I2653" t="s">
        <v>18</v>
      </c>
      <c r="J2653" t="str">
        <f>"4387872343"</f>
        <v>4387872343</v>
      </c>
      <c r="K2653" t="s">
        <v>9577</v>
      </c>
      <c r="L2653" t="s">
        <v>396</v>
      </c>
      <c r="M2653" t="s">
        <v>21</v>
      </c>
    </row>
    <row r="2654" spans="1:13" x14ac:dyDescent="0.35">
      <c r="A2654" t="str">
        <f>"633-0582"</f>
        <v>633-0582</v>
      </c>
      <c r="B2654" t="s">
        <v>9578</v>
      </c>
      <c r="C2654" t="str">
        <f>"6069"</f>
        <v>6069</v>
      </c>
      <c r="E2654" t="s">
        <v>2249</v>
      </c>
      <c r="F2654" t="s">
        <v>40</v>
      </c>
      <c r="G2654" t="s">
        <v>9579</v>
      </c>
      <c r="H2654" t="s">
        <v>17</v>
      </c>
      <c r="I2654" t="s">
        <v>18</v>
      </c>
      <c r="J2654" t="str">
        <f>"4182520772"</f>
        <v>4182520772</v>
      </c>
      <c r="K2654" t="s">
        <v>9580</v>
      </c>
      <c r="L2654" t="s">
        <v>193</v>
      </c>
      <c r="M2654" t="s">
        <v>21</v>
      </c>
    </row>
    <row r="2655" spans="1:13" x14ac:dyDescent="0.35">
      <c r="A2655" t="str">
        <f>"633-2206"</f>
        <v>633-2206</v>
      </c>
      <c r="B2655" t="s">
        <v>9581</v>
      </c>
      <c r="C2655" t="str">
        <f>"2715"</f>
        <v>2715</v>
      </c>
      <c r="D2655" t="str">
        <f>"2"</f>
        <v>2</v>
      </c>
      <c r="E2655" t="s">
        <v>8899</v>
      </c>
      <c r="F2655" t="s">
        <v>24</v>
      </c>
      <c r="G2655" t="s">
        <v>9582</v>
      </c>
      <c r="H2655" t="s">
        <v>17</v>
      </c>
      <c r="I2655" t="s">
        <v>18</v>
      </c>
      <c r="J2655" t="str">
        <f>"4383809153"</f>
        <v>4383809153</v>
      </c>
      <c r="K2655" t="s">
        <v>9583</v>
      </c>
      <c r="L2655" t="s">
        <v>86</v>
      </c>
      <c r="M2655" t="s">
        <v>21</v>
      </c>
    </row>
    <row r="2656" spans="1:13" x14ac:dyDescent="0.35">
      <c r="A2656" t="str">
        <f>"633-6073"</f>
        <v>633-6073</v>
      </c>
      <c r="B2656" t="s">
        <v>9584</v>
      </c>
      <c r="C2656" t="str">
        <f>"12665"</f>
        <v>12665</v>
      </c>
      <c r="E2656" t="s">
        <v>9585</v>
      </c>
      <c r="F2656" t="s">
        <v>24</v>
      </c>
      <c r="G2656" t="s">
        <v>9586</v>
      </c>
      <c r="H2656" t="s">
        <v>17</v>
      </c>
      <c r="I2656" t="s">
        <v>18</v>
      </c>
      <c r="J2656" t="str">
        <f>"4385296126"</f>
        <v>4385296126</v>
      </c>
      <c r="K2656" t="s">
        <v>9587</v>
      </c>
      <c r="L2656" t="s">
        <v>86</v>
      </c>
      <c r="M2656" t="s">
        <v>21</v>
      </c>
    </row>
    <row r="2657" spans="1:13" x14ac:dyDescent="0.35">
      <c r="A2657" t="str">
        <f>"247-3835"</f>
        <v>247-3835</v>
      </c>
      <c r="B2657" t="s">
        <v>9588</v>
      </c>
      <c r="C2657" t="str">
        <f>"1290"</f>
        <v>1290</v>
      </c>
      <c r="E2657" t="s">
        <v>4554</v>
      </c>
      <c r="F2657" t="s">
        <v>54</v>
      </c>
      <c r="G2657" t="s">
        <v>9589</v>
      </c>
      <c r="H2657" t="s">
        <v>17</v>
      </c>
      <c r="I2657" t="s">
        <v>18</v>
      </c>
      <c r="J2657" t="str">
        <f>"4385081975"</f>
        <v>4385081975</v>
      </c>
      <c r="K2657" t="s">
        <v>9590</v>
      </c>
      <c r="L2657" t="s">
        <v>86</v>
      </c>
      <c r="M2657" t="s">
        <v>21</v>
      </c>
    </row>
    <row r="2658" spans="1:13" x14ac:dyDescent="0.35">
      <c r="A2658" t="str">
        <f>"624-2039"</f>
        <v>624-2039</v>
      </c>
      <c r="B2658" t="s">
        <v>9591</v>
      </c>
      <c r="C2658" t="str">
        <f>"7177"</f>
        <v>7177</v>
      </c>
      <c r="E2658" t="s">
        <v>6307</v>
      </c>
      <c r="F2658" t="s">
        <v>24</v>
      </c>
      <c r="G2658" t="s">
        <v>9592</v>
      </c>
      <c r="H2658" t="s">
        <v>17</v>
      </c>
      <c r="I2658" t="s">
        <v>18</v>
      </c>
      <c r="J2658" t="str">
        <f>"4386991470"</f>
        <v>4386991470</v>
      </c>
      <c r="K2658" t="s">
        <v>9593</v>
      </c>
      <c r="L2658" t="s">
        <v>137</v>
      </c>
      <c r="M2658" t="s">
        <v>21</v>
      </c>
    </row>
    <row r="2659" spans="1:13" x14ac:dyDescent="0.35">
      <c r="A2659" t="str">
        <f>"624-7872"</f>
        <v>624-7872</v>
      </c>
      <c r="B2659" t="s">
        <v>9594</v>
      </c>
      <c r="C2659" t="str">
        <f>"7475"</f>
        <v>7475</v>
      </c>
      <c r="D2659" t="str">
        <f>"1"</f>
        <v>1</v>
      </c>
      <c r="E2659" t="s">
        <v>901</v>
      </c>
      <c r="F2659" t="s">
        <v>24</v>
      </c>
      <c r="G2659" t="s">
        <v>9595</v>
      </c>
      <c r="H2659" t="s">
        <v>17</v>
      </c>
      <c r="I2659" t="s">
        <v>18</v>
      </c>
      <c r="J2659" t="str">
        <f>"4383664110"</f>
        <v>4383664110</v>
      </c>
      <c r="K2659" t="s">
        <v>9596</v>
      </c>
      <c r="L2659" t="s">
        <v>869</v>
      </c>
      <c r="M2659" t="s">
        <v>21</v>
      </c>
    </row>
    <row r="2660" spans="1:13" x14ac:dyDescent="0.35">
      <c r="A2660" t="str">
        <f>"631-5976"</f>
        <v>631-5976</v>
      </c>
      <c r="B2660" t="s">
        <v>9597</v>
      </c>
      <c r="C2660" t="str">
        <f>"302"</f>
        <v>302</v>
      </c>
      <c r="E2660" t="s">
        <v>3396</v>
      </c>
      <c r="F2660" t="s">
        <v>24</v>
      </c>
      <c r="G2660" t="s">
        <v>9598</v>
      </c>
      <c r="H2660" t="s">
        <v>17</v>
      </c>
      <c r="I2660" t="s">
        <v>18</v>
      </c>
      <c r="J2660" t="str">
        <f>"4386302684"</f>
        <v>4386302684</v>
      </c>
      <c r="K2660" t="s">
        <v>9599</v>
      </c>
      <c r="L2660" t="s">
        <v>396</v>
      </c>
      <c r="M2660" t="s">
        <v>21</v>
      </c>
    </row>
    <row r="2661" spans="1:13" x14ac:dyDescent="0.35">
      <c r="A2661" t="str">
        <f>"632-0537"</f>
        <v>632-0537</v>
      </c>
      <c r="B2661" t="s">
        <v>9600</v>
      </c>
      <c r="C2661" t="str">
        <f>"8650"</f>
        <v>8650</v>
      </c>
      <c r="D2661" t="str">
        <f>"3"</f>
        <v>3</v>
      </c>
      <c r="E2661" t="s">
        <v>485</v>
      </c>
      <c r="F2661" t="s">
        <v>24</v>
      </c>
      <c r="G2661" t="s">
        <v>3594</v>
      </c>
      <c r="H2661" t="s">
        <v>17</v>
      </c>
      <c r="I2661" t="s">
        <v>18</v>
      </c>
      <c r="J2661" t="str">
        <f>"4383082660"</f>
        <v>4383082660</v>
      </c>
      <c r="K2661" t="s">
        <v>9601</v>
      </c>
      <c r="L2661" t="s">
        <v>86</v>
      </c>
      <c r="M2661" t="s">
        <v>21</v>
      </c>
    </row>
    <row r="2662" spans="1:13" x14ac:dyDescent="0.35">
      <c r="A2662" t="str">
        <f>"634-6488"</f>
        <v>634-6488</v>
      </c>
      <c r="B2662" t="s">
        <v>9602</v>
      </c>
      <c r="C2662" t="str">
        <f>"6541"</f>
        <v>6541</v>
      </c>
      <c r="E2662" t="s">
        <v>9603</v>
      </c>
      <c r="F2662" t="s">
        <v>40</v>
      </c>
      <c r="G2662" t="s">
        <v>6289</v>
      </c>
      <c r="H2662" t="s">
        <v>17</v>
      </c>
      <c r="I2662" t="s">
        <v>18</v>
      </c>
      <c r="J2662" t="str">
        <f>"5142468042"</f>
        <v>5142468042</v>
      </c>
      <c r="K2662" t="s">
        <v>9604</v>
      </c>
      <c r="L2662" t="s">
        <v>168</v>
      </c>
      <c r="M2662" t="s">
        <v>21</v>
      </c>
    </row>
    <row r="2663" spans="1:13" x14ac:dyDescent="0.35">
      <c r="A2663" t="str">
        <f>"634-6835"</f>
        <v>634-6835</v>
      </c>
      <c r="B2663" t="s">
        <v>9605</v>
      </c>
      <c r="C2663" t="str">
        <f>"4545"</f>
        <v>4545</v>
      </c>
      <c r="D2663" t="str">
        <f>"4"</f>
        <v>4</v>
      </c>
      <c r="E2663" t="s">
        <v>1780</v>
      </c>
      <c r="F2663" t="s">
        <v>24</v>
      </c>
      <c r="G2663" t="s">
        <v>9606</v>
      </c>
      <c r="H2663" t="s">
        <v>17</v>
      </c>
      <c r="I2663" t="s">
        <v>18</v>
      </c>
      <c r="J2663" t="str">
        <f>"4182306474"</f>
        <v>4182306474</v>
      </c>
      <c r="K2663" t="s">
        <v>9607</v>
      </c>
      <c r="L2663" t="s">
        <v>137</v>
      </c>
      <c r="M2663" t="s">
        <v>21</v>
      </c>
    </row>
    <row r="2664" spans="1:13" x14ac:dyDescent="0.35">
      <c r="A2664" t="str">
        <f>"619-4018"</f>
        <v>619-4018</v>
      </c>
      <c r="B2664" t="s">
        <v>9608</v>
      </c>
      <c r="C2664" t="str">
        <f>"701"</f>
        <v>701</v>
      </c>
      <c r="D2664" t="str">
        <f>"7"</f>
        <v>7</v>
      </c>
      <c r="E2664" t="s">
        <v>9609</v>
      </c>
      <c r="F2664" t="s">
        <v>157</v>
      </c>
      <c r="G2664" t="s">
        <v>9610</v>
      </c>
      <c r="H2664" t="s">
        <v>17</v>
      </c>
      <c r="I2664" t="s">
        <v>18</v>
      </c>
      <c r="J2664" t="str">
        <f>"5149263590"</f>
        <v>5149263590</v>
      </c>
      <c r="K2664" t="s">
        <v>9611</v>
      </c>
      <c r="L2664" t="s">
        <v>168</v>
      </c>
      <c r="M2664" t="s">
        <v>21</v>
      </c>
    </row>
    <row r="2665" spans="1:13" x14ac:dyDescent="0.35">
      <c r="A2665" t="str">
        <f>"625-7452"</f>
        <v>625-7452</v>
      </c>
      <c r="B2665" t="s">
        <v>9612</v>
      </c>
      <c r="C2665" t="str">
        <f>"521"</f>
        <v>521</v>
      </c>
      <c r="D2665" t="str">
        <f>"521"</f>
        <v>521</v>
      </c>
      <c r="E2665" t="s">
        <v>9613</v>
      </c>
      <c r="F2665" t="s">
        <v>3397</v>
      </c>
      <c r="G2665" t="s">
        <v>9614</v>
      </c>
      <c r="H2665" t="s">
        <v>17</v>
      </c>
      <c r="I2665" t="s">
        <v>18</v>
      </c>
      <c r="J2665" t="str">
        <f>"4389858325"</f>
        <v>4389858325</v>
      </c>
      <c r="K2665" t="s">
        <v>9615</v>
      </c>
      <c r="L2665" t="s">
        <v>869</v>
      </c>
      <c r="M2665" t="s">
        <v>21</v>
      </c>
    </row>
    <row r="2666" spans="1:13" x14ac:dyDescent="0.35">
      <c r="A2666" t="str">
        <f>"629-1477"</f>
        <v>629-1477</v>
      </c>
      <c r="B2666" t="s">
        <v>9616</v>
      </c>
      <c r="C2666" t="str">
        <f>"4651"</f>
        <v>4651</v>
      </c>
      <c r="D2666" t="str">
        <f>"3"</f>
        <v>3</v>
      </c>
      <c r="E2666" t="s">
        <v>100</v>
      </c>
      <c r="F2666" t="s">
        <v>40</v>
      </c>
      <c r="G2666" t="s">
        <v>9617</v>
      </c>
      <c r="H2666" t="s">
        <v>17</v>
      </c>
      <c r="I2666" t="s">
        <v>18</v>
      </c>
      <c r="J2666" t="str">
        <f>"4389269701"</f>
        <v>4389269701</v>
      </c>
      <c r="K2666" t="s">
        <v>9618</v>
      </c>
      <c r="L2666" t="s">
        <v>86</v>
      </c>
      <c r="M2666" t="s">
        <v>21</v>
      </c>
    </row>
    <row r="2667" spans="1:13" x14ac:dyDescent="0.35">
      <c r="A2667" t="str">
        <f>"217-1657"</f>
        <v>217-1657</v>
      </c>
      <c r="B2667" t="s">
        <v>9619</v>
      </c>
      <c r="C2667" t="str">
        <f>"1652"</f>
        <v>1652</v>
      </c>
      <c r="E2667" t="s">
        <v>3232</v>
      </c>
      <c r="F2667" t="s">
        <v>54</v>
      </c>
      <c r="G2667" t="s">
        <v>9620</v>
      </c>
      <c r="H2667" t="s">
        <v>17</v>
      </c>
      <c r="I2667" t="s">
        <v>18</v>
      </c>
      <c r="J2667" t="str">
        <f>"4388244933"</f>
        <v>4388244933</v>
      </c>
      <c r="K2667" t="s">
        <v>9621</v>
      </c>
      <c r="L2667" t="s">
        <v>86</v>
      </c>
      <c r="M2667" t="s">
        <v>21</v>
      </c>
    </row>
    <row r="2668" spans="1:13" x14ac:dyDescent="0.35">
      <c r="A2668" t="str">
        <f>"235-7025"</f>
        <v>235-7025</v>
      </c>
      <c r="B2668" t="s">
        <v>9622</v>
      </c>
      <c r="C2668" t="str">
        <f>"301"</f>
        <v>301</v>
      </c>
      <c r="E2668" t="s">
        <v>286</v>
      </c>
      <c r="F2668" t="s">
        <v>143</v>
      </c>
      <c r="G2668" t="s">
        <v>9623</v>
      </c>
      <c r="H2668" t="s">
        <v>17</v>
      </c>
      <c r="I2668" t="s">
        <v>18</v>
      </c>
      <c r="J2668" t="str">
        <f>"5149431671"</f>
        <v>5149431671</v>
      </c>
      <c r="K2668" t="s">
        <v>9624</v>
      </c>
      <c r="L2668" t="s">
        <v>396</v>
      </c>
      <c r="M2668" t="s">
        <v>21</v>
      </c>
    </row>
    <row r="2669" spans="1:13" x14ac:dyDescent="0.35">
      <c r="A2669" t="str">
        <f>"627-1647"</f>
        <v>627-1647</v>
      </c>
      <c r="B2669" t="s">
        <v>9625</v>
      </c>
      <c r="C2669" t="str">
        <f>"4700"</f>
        <v>4700</v>
      </c>
      <c r="D2669" t="str">
        <f>"406"</f>
        <v>406</v>
      </c>
      <c r="E2669" t="s">
        <v>9626</v>
      </c>
      <c r="F2669" t="s">
        <v>24</v>
      </c>
      <c r="G2669" t="s">
        <v>9627</v>
      </c>
      <c r="H2669" t="s">
        <v>17</v>
      </c>
      <c r="I2669" t="s">
        <v>18</v>
      </c>
      <c r="J2669" t="str">
        <f>"5149692333"</f>
        <v>5149692333</v>
      </c>
      <c r="K2669" t="s">
        <v>9628</v>
      </c>
      <c r="L2669" t="s">
        <v>132</v>
      </c>
      <c r="M2669" t="s">
        <v>21</v>
      </c>
    </row>
    <row r="2670" spans="1:13" x14ac:dyDescent="0.35">
      <c r="A2670" t="str">
        <f>"627-3804"</f>
        <v>627-3804</v>
      </c>
      <c r="B2670" t="s">
        <v>9629</v>
      </c>
      <c r="C2670" t="str">
        <f>"950"</f>
        <v>950</v>
      </c>
      <c r="D2670" t="str">
        <f>"103"</f>
        <v>103</v>
      </c>
      <c r="E2670" t="s">
        <v>2050</v>
      </c>
      <c r="F2670" t="s">
        <v>24</v>
      </c>
      <c r="G2670" t="s">
        <v>2051</v>
      </c>
      <c r="H2670" t="s">
        <v>17</v>
      </c>
      <c r="I2670" t="s">
        <v>18</v>
      </c>
      <c r="J2670" t="str">
        <f>"4385298191"</f>
        <v>4385298191</v>
      </c>
      <c r="K2670" t="s">
        <v>9630</v>
      </c>
      <c r="L2670" t="s">
        <v>86</v>
      </c>
      <c r="M2670" t="s">
        <v>21</v>
      </c>
    </row>
    <row r="2671" spans="1:13" x14ac:dyDescent="0.35">
      <c r="A2671" t="str">
        <f>"629-2677"</f>
        <v>629-2677</v>
      </c>
      <c r="B2671" t="s">
        <v>9631</v>
      </c>
      <c r="C2671" t="str">
        <f>"10902"</f>
        <v>10902</v>
      </c>
      <c r="E2671" t="s">
        <v>3263</v>
      </c>
      <c r="F2671" t="s">
        <v>24</v>
      </c>
      <c r="G2671" t="s">
        <v>8340</v>
      </c>
      <c r="H2671" t="s">
        <v>17</v>
      </c>
      <c r="I2671" t="s">
        <v>18</v>
      </c>
      <c r="J2671" t="str">
        <f>"5142957414"</f>
        <v>5142957414</v>
      </c>
      <c r="K2671" t="s">
        <v>9632</v>
      </c>
      <c r="L2671" t="s">
        <v>86</v>
      </c>
      <c r="M2671" t="s">
        <v>21</v>
      </c>
    </row>
    <row r="2672" spans="1:13" x14ac:dyDescent="0.35">
      <c r="A2672" t="str">
        <f>"629-4225"</f>
        <v>629-4225</v>
      </c>
      <c r="B2672" t="s">
        <v>9633</v>
      </c>
      <c r="C2672" t="str">
        <f>"5060"</f>
        <v>5060</v>
      </c>
      <c r="D2672" t="str">
        <f>"6"</f>
        <v>6</v>
      </c>
      <c r="E2672" t="s">
        <v>9634</v>
      </c>
      <c r="F2672" t="s">
        <v>24</v>
      </c>
      <c r="G2672" t="s">
        <v>9635</v>
      </c>
      <c r="H2672" t="s">
        <v>17</v>
      </c>
      <c r="I2672" t="s">
        <v>18</v>
      </c>
      <c r="J2672" t="str">
        <f>"5142102090"</f>
        <v>5142102090</v>
      </c>
      <c r="K2672" t="s">
        <v>9636</v>
      </c>
      <c r="L2672" t="s">
        <v>137</v>
      </c>
      <c r="M2672" t="s">
        <v>21</v>
      </c>
    </row>
    <row r="2673" spans="1:13" x14ac:dyDescent="0.35">
      <c r="A2673" t="str">
        <f>"632-5383"</f>
        <v>632-5383</v>
      </c>
      <c r="B2673" t="s">
        <v>9637</v>
      </c>
      <c r="C2673" t="str">
        <f>"6750"</f>
        <v>6750</v>
      </c>
      <c r="E2673" t="s">
        <v>9638</v>
      </c>
      <c r="F2673" t="s">
        <v>24</v>
      </c>
      <c r="G2673" t="s">
        <v>9639</v>
      </c>
      <c r="H2673" t="s">
        <v>17</v>
      </c>
      <c r="I2673" t="s">
        <v>18</v>
      </c>
      <c r="J2673" t="str">
        <f>"5147092962"</f>
        <v>5147092962</v>
      </c>
      <c r="K2673" t="s">
        <v>9640</v>
      </c>
      <c r="L2673" t="s">
        <v>396</v>
      </c>
      <c r="M2673" t="s">
        <v>21</v>
      </c>
    </row>
    <row r="2674" spans="1:13" x14ac:dyDescent="0.35">
      <c r="A2674" t="str">
        <f>"208-0993"</f>
        <v>208-0993</v>
      </c>
      <c r="B2674" t="s">
        <v>9641</v>
      </c>
      <c r="C2674" t="str">
        <f>"13334"</f>
        <v>13334</v>
      </c>
      <c r="E2674" t="s">
        <v>9642</v>
      </c>
      <c r="F2674" t="s">
        <v>24</v>
      </c>
      <c r="G2674" t="s">
        <v>9643</v>
      </c>
      <c r="H2674" t="s">
        <v>17</v>
      </c>
      <c r="I2674" t="s">
        <v>18</v>
      </c>
      <c r="J2674" t="str">
        <f>"5145928047"</f>
        <v>5145928047</v>
      </c>
      <c r="K2674" t="s">
        <v>9644</v>
      </c>
      <c r="L2674" t="s">
        <v>86</v>
      </c>
      <c r="M2674" t="s">
        <v>21</v>
      </c>
    </row>
    <row r="2675" spans="1:13" x14ac:dyDescent="0.35">
      <c r="A2675" t="str">
        <f>"208-2388"</f>
        <v>208-2388</v>
      </c>
      <c r="B2675" t="s">
        <v>9645</v>
      </c>
      <c r="C2675" t="str">
        <f>"5680"</f>
        <v>5680</v>
      </c>
      <c r="D2675" t="str">
        <f>"7"</f>
        <v>7</v>
      </c>
      <c r="E2675" t="s">
        <v>5478</v>
      </c>
      <c r="F2675" t="s">
        <v>24</v>
      </c>
      <c r="G2675" t="s">
        <v>3252</v>
      </c>
      <c r="H2675" t="s">
        <v>17</v>
      </c>
      <c r="I2675" t="s">
        <v>18</v>
      </c>
      <c r="J2675" t="str">
        <f>"5145153064"</f>
        <v>5145153064</v>
      </c>
      <c r="K2675" t="s">
        <v>9646</v>
      </c>
      <c r="L2675" t="s">
        <v>137</v>
      </c>
      <c r="M2675" t="s">
        <v>21</v>
      </c>
    </row>
    <row r="2676" spans="1:13" x14ac:dyDescent="0.35">
      <c r="A2676" t="str">
        <f>"223-3379"</f>
        <v>223-3379</v>
      </c>
      <c r="B2676" t="s">
        <v>9647</v>
      </c>
      <c r="C2676" t="str">
        <f>"8702"</f>
        <v>8702</v>
      </c>
      <c r="E2676" t="s">
        <v>9648</v>
      </c>
      <c r="F2676" t="s">
        <v>54</v>
      </c>
      <c r="G2676" t="s">
        <v>9649</v>
      </c>
      <c r="H2676" t="s">
        <v>17</v>
      </c>
      <c r="I2676" t="s">
        <v>18</v>
      </c>
      <c r="J2676" t="str">
        <f>"5146634190"</f>
        <v>5146634190</v>
      </c>
      <c r="K2676" t="s">
        <v>9650</v>
      </c>
      <c r="L2676" t="s">
        <v>198</v>
      </c>
      <c r="M2676" t="s">
        <v>21</v>
      </c>
    </row>
    <row r="2677" spans="1:13" x14ac:dyDescent="0.35">
      <c r="A2677" t="str">
        <f>"244-2241"</f>
        <v>244-2241</v>
      </c>
      <c r="B2677" t="s">
        <v>9651</v>
      </c>
      <c r="C2677" t="str">
        <f>"6533"</f>
        <v>6533</v>
      </c>
      <c r="E2677" t="s">
        <v>3351</v>
      </c>
      <c r="F2677" t="s">
        <v>24</v>
      </c>
      <c r="G2677" t="s">
        <v>1755</v>
      </c>
      <c r="H2677" t="s">
        <v>17</v>
      </c>
      <c r="I2677" t="s">
        <v>18</v>
      </c>
      <c r="J2677" t="str">
        <f>"5146550643"</f>
        <v>5146550643</v>
      </c>
      <c r="K2677" t="s">
        <v>9652</v>
      </c>
      <c r="L2677" t="s">
        <v>86</v>
      </c>
      <c r="M2677" t="s">
        <v>21</v>
      </c>
    </row>
    <row r="2678" spans="1:13" x14ac:dyDescent="0.35">
      <c r="A2678" t="str">
        <f>"244-3869"</f>
        <v>244-3869</v>
      </c>
      <c r="B2678" t="s">
        <v>9653</v>
      </c>
      <c r="C2678" t="str">
        <f>"4437"</f>
        <v>4437</v>
      </c>
      <c r="E2678" t="s">
        <v>9654</v>
      </c>
      <c r="F2678" t="s">
        <v>24</v>
      </c>
      <c r="G2678" t="s">
        <v>9655</v>
      </c>
      <c r="H2678" t="s">
        <v>17</v>
      </c>
      <c r="I2678" t="s">
        <v>18</v>
      </c>
      <c r="J2678" t="str">
        <f>"4382212836"</f>
        <v>4382212836</v>
      </c>
      <c r="K2678" t="s">
        <v>9656</v>
      </c>
      <c r="L2678" t="s">
        <v>168</v>
      </c>
      <c r="M2678" t="s">
        <v>21</v>
      </c>
    </row>
    <row r="2679" spans="1:13" x14ac:dyDescent="0.35">
      <c r="A2679" t="str">
        <f>"244-4606"</f>
        <v>244-4606</v>
      </c>
      <c r="B2679" t="s">
        <v>9657</v>
      </c>
      <c r="C2679" t="str">
        <f>"5252"</f>
        <v>5252</v>
      </c>
      <c r="E2679" t="s">
        <v>9658</v>
      </c>
      <c r="F2679" t="s">
        <v>24</v>
      </c>
      <c r="G2679" t="s">
        <v>8708</v>
      </c>
      <c r="H2679" t="s">
        <v>17</v>
      </c>
      <c r="I2679" t="s">
        <v>18</v>
      </c>
      <c r="J2679" t="str">
        <f>"4384076321"</f>
        <v>4384076321</v>
      </c>
      <c r="K2679" t="s">
        <v>9659</v>
      </c>
      <c r="L2679" t="s">
        <v>137</v>
      </c>
      <c r="M2679" t="s">
        <v>21</v>
      </c>
    </row>
    <row r="2680" spans="1:13" x14ac:dyDescent="0.35">
      <c r="A2680" t="str">
        <f>"244-6377"</f>
        <v>244-6377</v>
      </c>
      <c r="B2680" t="s">
        <v>9660</v>
      </c>
      <c r="C2680" t="str">
        <f>"755"</f>
        <v>755</v>
      </c>
      <c r="D2680" t="str">
        <f>"5"</f>
        <v>5</v>
      </c>
      <c r="E2680" t="s">
        <v>9661</v>
      </c>
      <c r="F2680" t="s">
        <v>54</v>
      </c>
      <c r="G2680" t="s">
        <v>9662</v>
      </c>
      <c r="H2680" t="s">
        <v>17</v>
      </c>
      <c r="I2680" t="s">
        <v>18</v>
      </c>
      <c r="J2680" t="str">
        <f>"5148385441"</f>
        <v>5148385441</v>
      </c>
      <c r="K2680" t="s">
        <v>9663</v>
      </c>
      <c r="L2680" t="s">
        <v>137</v>
      </c>
      <c r="M2680" t="s">
        <v>21</v>
      </c>
    </row>
    <row r="2681" spans="1:13" x14ac:dyDescent="0.35">
      <c r="A2681" t="str">
        <f>"622-5791"</f>
        <v>622-5791</v>
      </c>
      <c r="B2681" t="s">
        <v>9664</v>
      </c>
      <c r="C2681" t="str">
        <f>"4150"</f>
        <v>4150</v>
      </c>
      <c r="E2681" t="s">
        <v>9665</v>
      </c>
      <c r="F2681" t="s">
        <v>256</v>
      </c>
      <c r="G2681" t="s">
        <v>9666</v>
      </c>
      <c r="H2681" t="s">
        <v>17</v>
      </c>
      <c r="I2681" t="s">
        <v>18</v>
      </c>
      <c r="J2681" t="str">
        <f>"5143775678"</f>
        <v>5143775678</v>
      </c>
      <c r="K2681" t="s">
        <v>9667</v>
      </c>
      <c r="L2681" t="s">
        <v>396</v>
      </c>
      <c r="M2681" t="s">
        <v>21</v>
      </c>
    </row>
    <row r="2682" spans="1:13" x14ac:dyDescent="0.35">
      <c r="A2682" t="str">
        <f>"623-5482"</f>
        <v>623-5482</v>
      </c>
      <c r="B2682" t="s">
        <v>9668</v>
      </c>
      <c r="C2682" t="str">
        <f>"4530"</f>
        <v>4530</v>
      </c>
      <c r="D2682" t="str">
        <f>"3"</f>
        <v>3</v>
      </c>
      <c r="E2682" t="s">
        <v>376</v>
      </c>
      <c r="F2682" t="s">
        <v>24</v>
      </c>
      <c r="G2682" t="s">
        <v>9669</v>
      </c>
      <c r="H2682" t="s">
        <v>17</v>
      </c>
      <c r="I2682" t="s">
        <v>18</v>
      </c>
      <c r="J2682" t="str">
        <f>"4382824825"</f>
        <v>4382824825</v>
      </c>
      <c r="K2682" t="s">
        <v>9670</v>
      </c>
      <c r="L2682" t="s">
        <v>466</v>
      </c>
      <c r="M2682" t="s">
        <v>21</v>
      </c>
    </row>
    <row r="2683" spans="1:13" x14ac:dyDescent="0.35">
      <c r="A2683" t="str">
        <f>"630-4409"</f>
        <v>630-4409</v>
      </c>
      <c r="B2683" t="s">
        <v>9671</v>
      </c>
      <c r="C2683" t="str">
        <f>"4465"</f>
        <v>4465</v>
      </c>
      <c r="E2683" t="s">
        <v>830</v>
      </c>
      <c r="F2683" t="s">
        <v>24</v>
      </c>
      <c r="G2683" t="s">
        <v>831</v>
      </c>
      <c r="H2683" t="s">
        <v>17</v>
      </c>
      <c r="I2683" t="s">
        <v>18</v>
      </c>
      <c r="J2683" t="str">
        <f>"4383679412"</f>
        <v>4383679412</v>
      </c>
      <c r="K2683" t="s">
        <v>9672</v>
      </c>
      <c r="L2683" t="s">
        <v>86</v>
      </c>
      <c r="M2683" t="s">
        <v>21</v>
      </c>
    </row>
    <row r="2684" spans="1:13" x14ac:dyDescent="0.35">
      <c r="A2684" t="str">
        <f>"630-4662"</f>
        <v>630-4662</v>
      </c>
      <c r="B2684" t="s">
        <v>9673</v>
      </c>
      <c r="C2684" t="str">
        <f>"2294"</f>
        <v>2294</v>
      </c>
      <c r="E2684" t="s">
        <v>9674</v>
      </c>
      <c r="F2684" t="s">
        <v>24</v>
      </c>
      <c r="G2684" t="s">
        <v>9675</v>
      </c>
      <c r="H2684" t="s">
        <v>17</v>
      </c>
      <c r="I2684" t="s">
        <v>18</v>
      </c>
      <c r="J2684" t="str">
        <f>"4384087449"</f>
        <v>4384087449</v>
      </c>
      <c r="K2684" t="s">
        <v>9676</v>
      </c>
      <c r="L2684" t="s">
        <v>86</v>
      </c>
      <c r="M2684" t="s">
        <v>21</v>
      </c>
    </row>
    <row r="2685" spans="1:13" x14ac:dyDescent="0.35">
      <c r="A2685" t="str">
        <f>"630-4935"</f>
        <v>630-4935</v>
      </c>
      <c r="B2685" t="s">
        <v>9677</v>
      </c>
      <c r="C2685" t="str">
        <f>"1415"</f>
        <v>1415</v>
      </c>
      <c r="D2685" t="str">
        <f>"5"</f>
        <v>5</v>
      </c>
      <c r="E2685" t="s">
        <v>3691</v>
      </c>
      <c r="F2685" t="s">
        <v>24</v>
      </c>
      <c r="G2685" t="s">
        <v>9678</v>
      </c>
      <c r="H2685" t="s">
        <v>17</v>
      </c>
      <c r="I2685" t="s">
        <v>18</v>
      </c>
      <c r="J2685" t="str">
        <f>"4384580806"</f>
        <v>4384580806</v>
      </c>
      <c r="K2685" t="s">
        <v>9679</v>
      </c>
      <c r="L2685" t="s">
        <v>168</v>
      </c>
      <c r="M2685" t="s">
        <v>21</v>
      </c>
    </row>
    <row r="2686" spans="1:13" x14ac:dyDescent="0.35">
      <c r="A2686" t="str">
        <f>"630-6341"</f>
        <v>630-6341</v>
      </c>
      <c r="B2686" t="s">
        <v>9680</v>
      </c>
      <c r="C2686" t="str">
        <f>"1141"</f>
        <v>1141</v>
      </c>
      <c r="E2686" t="s">
        <v>9681</v>
      </c>
      <c r="F2686" t="s">
        <v>54</v>
      </c>
      <c r="G2686" t="s">
        <v>9682</v>
      </c>
      <c r="H2686" t="s">
        <v>17</v>
      </c>
      <c r="I2686" t="s">
        <v>18</v>
      </c>
      <c r="J2686" t="str">
        <f>"4388879551"</f>
        <v>4388879551</v>
      </c>
      <c r="K2686" t="s">
        <v>9683</v>
      </c>
      <c r="L2686" t="s">
        <v>396</v>
      </c>
      <c r="M2686" t="s">
        <v>21</v>
      </c>
    </row>
    <row r="2687" spans="1:13" x14ac:dyDescent="0.35">
      <c r="A2687" t="str">
        <f>"157-1530"</f>
        <v>157-1530</v>
      </c>
      <c r="B2687" t="s">
        <v>9684</v>
      </c>
      <c r="C2687" t="str">
        <f>"1235"</f>
        <v>1235</v>
      </c>
      <c r="E2687" t="s">
        <v>5530</v>
      </c>
      <c r="F2687" t="s">
        <v>157</v>
      </c>
      <c r="G2687" t="s">
        <v>9685</v>
      </c>
      <c r="H2687" t="s">
        <v>17</v>
      </c>
      <c r="I2687" t="s">
        <v>18</v>
      </c>
      <c r="J2687" t="str">
        <f>"5146412245"</f>
        <v>5146412245</v>
      </c>
      <c r="K2687" t="s">
        <v>9686</v>
      </c>
      <c r="L2687" t="s">
        <v>132</v>
      </c>
      <c r="M2687" t="s">
        <v>21</v>
      </c>
    </row>
    <row r="2688" spans="1:13" x14ac:dyDescent="0.35">
      <c r="A2688" t="str">
        <f>"634-8271"</f>
        <v>634-8271</v>
      </c>
      <c r="B2688" t="s">
        <v>9687</v>
      </c>
      <c r="C2688" t="str">
        <f>"5715"</f>
        <v>5715</v>
      </c>
      <c r="D2688" t="str">
        <f>"205"</f>
        <v>205</v>
      </c>
      <c r="E2688" t="s">
        <v>6943</v>
      </c>
      <c r="F2688" t="s">
        <v>24</v>
      </c>
      <c r="G2688" t="s">
        <v>9464</v>
      </c>
      <c r="H2688" t="s">
        <v>17</v>
      </c>
      <c r="I2688" t="s">
        <v>18</v>
      </c>
      <c r="J2688" t="str">
        <f>"5143346580"</f>
        <v>5143346580</v>
      </c>
      <c r="K2688" t="s">
        <v>9688</v>
      </c>
      <c r="L2688" t="s">
        <v>86</v>
      </c>
      <c r="M2688" t="s">
        <v>21</v>
      </c>
    </row>
    <row r="2689" spans="1:13" x14ac:dyDescent="0.35">
      <c r="A2689" t="str">
        <f>"634-5921"</f>
        <v>634-5921</v>
      </c>
      <c r="B2689" t="s">
        <v>9689</v>
      </c>
      <c r="C2689" t="str">
        <f>"1310"</f>
        <v>1310</v>
      </c>
      <c r="D2689" t="str">
        <f>"8"</f>
        <v>8</v>
      </c>
      <c r="E2689" t="s">
        <v>7041</v>
      </c>
      <c r="F2689" t="s">
        <v>24</v>
      </c>
      <c r="G2689" t="s">
        <v>9690</v>
      </c>
      <c r="H2689" t="s">
        <v>17</v>
      </c>
      <c r="I2689" t="s">
        <v>18</v>
      </c>
      <c r="J2689" t="str">
        <f>"4388894028"</f>
        <v>4388894028</v>
      </c>
      <c r="K2689" t="s">
        <v>9691</v>
      </c>
      <c r="L2689" t="s">
        <v>86</v>
      </c>
      <c r="M2689" t="s">
        <v>21</v>
      </c>
    </row>
    <row r="2690" spans="1:13" x14ac:dyDescent="0.35">
      <c r="A2690" t="str">
        <f>"631-6343"</f>
        <v>631-6343</v>
      </c>
      <c r="B2690" t="s">
        <v>9692</v>
      </c>
      <c r="C2690" t="str">
        <f>"7940"</f>
        <v>7940</v>
      </c>
      <c r="D2690" t="str">
        <f>"3"</f>
        <v>3</v>
      </c>
      <c r="E2690" t="s">
        <v>3288</v>
      </c>
      <c r="F2690" t="s">
        <v>24</v>
      </c>
      <c r="G2690" t="s">
        <v>9693</v>
      </c>
      <c r="H2690" t="s">
        <v>17</v>
      </c>
      <c r="I2690" t="s">
        <v>18</v>
      </c>
      <c r="J2690" t="str">
        <f>"4389215488"</f>
        <v>4389215488</v>
      </c>
      <c r="K2690" t="s">
        <v>9694</v>
      </c>
      <c r="L2690" t="s">
        <v>396</v>
      </c>
      <c r="M2690" t="s">
        <v>21</v>
      </c>
    </row>
    <row r="2691" spans="1:13" x14ac:dyDescent="0.35">
      <c r="A2691" t="str">
        <f>"632-3125"</f>
        <v>632-3125</v>
      </c>
      <c r="B2691" t="s">
        <v>9695</v>
      </c>
      <c r="C2691" t="str">
        <f>"1601"</f>
        <v>1601</v>
      </c>
      <c r="E2691" t="s">
        <v>2818</v>
      </c>
      <c r="F2691" t="s">
        <v>54</v>
      </c>
      <c r="G2691" t="s">
        <v>2819</v>
      </c>
      <c r="H2691" t="s">
        <v>17</v>
      </c>
      <c r="I2691" t="s">
        <v>18</v>
      </c>
      <c r="J2691" t="str">
        <f>"4382265505"</f>
        <v>4382265505</v>
      </c>
      <c r="K2691" t="s">
        <v>9696</v>
      </c>
      <c r="L2691" t="s">
        <v>86</v>
      </c>
      <c r="M2691" t="s">
        <v>21</v>
      </c>
    </row>
    <row r="2692" spans="1:13" x14ac:dyDescent="0.35">
      <c r="A2692" t="str">
        <f>"632-5988"</f>
        <v>632-5988</v>
      </c>
      <c r="B2692" t="s">
        <v>9697</v>
      </c>
      <c r="C2692" t="str">
        <f>"8263"</f>
        <v>8263</v>
      </c>
      <c r="E2692" t="s">
        <v>9232</v>
      </c>
      <c r="F2692" t="s">
        <v>24</v>
      </c>
      <c r="G2692" t="s">
        <v>9698</v>
      </c>
      <c r="H2692" t="s">
        <v>17</v>
      </c>
      <c r="I2692" t="s">
        <v>18</v>
      </c>
      <c r="J2692" t="str">
        <f>"5149107477"</f>
        <v>5149107477</v>
      </c>
      <c r="K2692" t="s">
        <v>9699</v>
      </c>
      <c r="L2692" t="s">
        <v>86</v>
      </c>
      <c r="M2692" t="s">
        <v>21</v>
      </c>
    </row>
    <row r="2693" spans="1:13" x14ac:dyDescent="0.35">
      <c r="A2693" t="str">
        <f>"632-6299"</f>
        <v>632-6299</v>
      </c>
      <c r="B2693" t="s">
        <v>9700</v>
      </c>
      <c r="C2693" t="str">
        <f>"7359"</f>
        <v>7359</v>
      </c>
      <c r="E2693" t="s">
        <v>7804</v>
      </c>
      <c r="F2693" t="s">
        <v>24</v>
      </c>
      <c r="G2693" t="s">
        <v>9701</v>
      </c>
      <c r="H2693" t="s">
        <v>17</v>
      </c>
      <c r="I2693" t="s">
        <v>18</v>
      </c>
      <c r="J2693" t="str">
        <f>"5145541326"</f>
        <v>5145541326</v>
      </c>
      <c r="K2693" t="s">
        <v>9702</v>
      </c>
      <c r="L2693" t="s">
        <v>86</v>
      </c>
      <c r="M2693" t="s">
        <v>21</v>
      </c>
    </row>
    <row r="2694" spans="1:13" x14ac:dyDescent="0.35">
      <c r="A2694" t="str">
        <f>"175-0805"</f>
        <v>175-0805</v>
      </c>
      <c r="B2694" t="s">
        <v>9703</v>
      </c>
      <c r="C2694" t="str">
        <f>"8799"</f>
        <v>8799</v>
      </c>
      <c r="E2694" t="s">
        <v>2081</v>
      </c>
      <c r="F2694" t="s">
        <v>24</v>
      </c>
      <c r="G2694" t="s">
        <v>9704</v>
      </c>
      <c r="H2694" t="s">
        <v>17</v>
      </c>
      <c r="I2694" t="s">
        <v>18</v>
      </c>
      <c r="J2694" t="str">
        <f>"5142958416"</f>
        <v>5142958416</v>
      </c>
      <c r="K2694" t="s">
        <v>9705</v>
      </c>
      <c r="L2694" t="s">
        <v>86</v>
      </c>
      <c r="M2694" t="s">
        <v>21</v>
      </c>
    </row>
    <row r="2695" spans="1:13" x14ac:dyDescent="0.35">
      <c r="A2695" t="str">
        <f>"208-8917"</f>
        <v>208-8917</v>
      </c>
      <c r="B2695" t="s">
        <v>9706</v>
      </c>
      <c r="C2695" t="str">
        <f>"7767"</f>
        <v>7767</v>
      </c>
      <c r="E2695" t="s">
        <v>9707</v>
      </c>
      <c r="F2695" t="s">
        <v>54</v>
      </c>
      <c r="G2695" t="s">
        <v>9708</v>
      </c>
      <c r="H2695" t="s">
        <v>17</v>
      </c>
      <c r="I2695" t="s">
        <v>18</v>
      </c>
      <c r="J2695" t="str">
        <f>"4389287726"</f>
        <v>4389287726</v>
      </c>
      <c r="K2695" t="s">
        <v>9709</v>
      </c>
      <c r="L2695" t="s">
        <v>86</v>
      </c>
      <c r="M2695" t="s">
        <v>21</v>
      </c>
    </row>
    <row r="2696" spans="1:13" x14ac:dyDescent="0.35">
      <c r="A2696" t="str">
        <f>"634-5667"</f>
        <v>634-5667</v>
      </c>
      <c r="B2696" t="s">
        <v>9710</v>
      </c>
      <c r="C2696" t="str">
        <f>"4925"</f>
        <v>4925</v>
      </c>
      <c r="D2696" t="str">
        <f>"15"</f>
        <v>15</v>
      </c>
      <c r="E2696" t="s">
        <v>8899</v>
      </c>
      <c r="F2696" t="s">
        <v>24</v>
      </c>
      <c r="G2696" t="s">
        <v>9711</v>
      </c>
      <c r="H2696" t="s">
        <v>17</v>
      </c>
      <c r="I2696" t="s">
        <v>18</v>
      </c>
      <c r="J2696" t="str">
        <f>"4388780588"</f>
        <v>4388780588</v>
      </c>
      <c r="K2696" t="s">
        <v>9712</v>
      </c>
      <c r="L2696" t="s">
        <v>39</v>
      </c>
      <c r="M2696" t="s">
        <v>21</v>
      </c>
    </row>
    <row r="2697" spans="1:13" x14ac:dyDescent="0.35">
      <c r="A2697" t="str">
        <f>"634-6048"</f>
        <v>634-6048</v>
      </c>
      <c r="B2697" t="s">
        <v>9713</v>
      </c>
      <c r="C2697" t="str">
        <f>"7651"</f>
        <v>7651</v>
      </c>
      <c r="E2697" t="s">
        <v>9714</v>
      </c>
      <c r="F2697" t="s">
        <v>9715</v>
      </c>
      <c r="G2697" t="s">
        <v>9716</v>
      </c>
      <c r="H2697" t="s">
        <v>17</v>
      </c>
      <c r="I2697" t="s">
        <v>18</v>
      </c>
      <c r="J2697" t="str">
        <f>"5144587209"</f>
        <v>5144587209</v>
      </c>
      <c r="K2697" t="s">
        <v>9717</v>
      </c>
      <c r="L2697" t="s">
        <v>207</v>
      </c>
      <c r="M2697" t="s">
        <v>21</v>
      </c>
    </row>
    <row r="2698" spans="1:13" x14ac:dyDescent="0.35">
      <c r="A2698" t="str">
        <f>"631-4257"</f>
        <v>631-4257</v>
      </c>
      <c r="B2698" t="s">
        <v>9718</v>
      </c>
      <c r="C2698" t="str">
        <f>"1468"</f>
        <v>1468</v>
      </c>
      <c r="E2698" t="s">
        <v>4677</v>
      </c>
      <c r="F2698" t="s">
        <v>24</v>
      </c>
      <c r="G2698" t="s">
        <v>9719</v>
      </c>
      <c r="H2698" t="s">
        <v>17</v>
      </c>
      <c r="I2698" t="s">
        <v>18</v>
      </c>
      <c r="J2698" t="str">
        <f>"5145121905"</f>
        <v>5145121905</v>
      </c>
      <c r="K2698" t="s">
        <v>9720</v>
      </c>
      <c r="L2698" t="s">
        <v>207</v>
      </c>
      <c r="M2698" t="s">
        <v>21</v>
      </c>
    </row>
    <row r="2699" spans="1:13" x14ac:dyDescent="0.35">
      <c r="A2699" t="str">
        <f>"633-3946"</f>
        <v>633-3946</v>
      </c>
      <c r="B2699" t="s">
        <v>9721</v>
      </c>
      <c r="C2699" t="str">
        <f>"8975"</f>
        <v>8975</v>
      </c>
      <c r="D2699" t="str">
        <f>"4"</f>
        <v>4</v>
      </c>
      <c r="E2699" t="s">
        <v>3902</v>
      </c>
      <c r="F2699" t="s">
        <v>24</v>
      </c>
      <c r="G2699" t="s">
        <v>3673</v>
      </c>
      <c r="H2699" t="s">
        <v>17</v>
      </c>
      <c r="I2699" t="s">
        <v>18</v>
      </c>
      <c r="J2699" t="str">
        <f>"4383361984"</f>
        <v>4383361984</v>
      </c>
      <c r="K2699" t="s">
        <v>9722</v>
      </c>
      <c r="L2699" t="s">
        <v>86</v>
      </c>
      <c r="M2699" t="s">
        <v>21</v>
      </c>
    </row>
    <row r="2700" spans="1:13" x14ac:dyDescent="0.35">
      <c r="A2700" t="str">
        <f>"224-4880"</f>
        <v>224-4880</v>
      </c>
      <c r="B2700" t="s">
        <v>9723</v>
      </c>
      <c r="C2700" t="str">
        <f>"4345"</f>
        <v>4345</v>
      </c>
      <c r="E2700" t="s">
        <v>314</v>
      </c>
      <c r="F2700" t="s">
        <v>40</v>
      </c>
      <c r="G2700" t="s">
        <v>9724</v>
      </c>
      <c r="H2700" t="s">
        <v>17</v>
      </c>
      <c r="I2700" t="s">
        <v>18</v>
      </c>
      <c r="J2700" t="str">
        <f>"5148831050"</f>
        <v>5148831050</v>
      </c>
      <c r="K2700" t="s">
        <v>9725</v>
      </c>
      <c r="L2700" t="s">
        <v>608</v>
      </c>
      <c r="M2700" t="s">
        <v>21</v>
      </c>
    </row>
    <row r="2701" spans="1:13" x14ac:dyDescent="0.35">
      <c r="A2701" t="str">
        <f>"635-0152"</f>
        <v>635-0152</v>
      </c>
      <c r="B2701" t="s">
        <v>9726</v>
      </c>
      <c r="C2701" t="str">
        <f>"4270"</f>
        <v>4270</v>
      </c>
      <c r="D2701" t="str">
        <f>"1"</f>
        <v>1</v>
      </c>
      <c r="E2701" t="s">
        <v>9727</v>
      </c>
      <c r="F2701" t="s">
        <v>40</v>
      </c>
      <c r="G2701" t="s">
        <v>7101</v>
      </c>
      <c r="H2701" t="s">
        <v>17</v>
      </c>
      <c r="I2701" t="s">
        <v>18</v>
      </c>
      <c r="J2701" t="str">
        <f>"5819805209"</f>
        <v>5819805209</v>
      </c>
      <c r="K2701" t="s">
        <v>9728</v>
      </c>
      <c r="L2701" t="s">
        <v>86</v>
      </c>
      <c r="M2701" t="s">
        <v>21</v>
      </c>
    </row>
    <row r="2702" spans="1:13" x14ac:dyDescent="0.35">
      <c r="A2702" t="str">
        <f>"213-1921"</f>
        <v>213-1921</v>
      </c>
      <c r="B2702" t="s">
        <v>9729</v>
      </c>
      <c r="C2702" t="str">
        <f>"10"</f>
        <v>10</v>
      </c>
      <c r="E2702" t="s">
        <v>9730</v>
      </c>
      <c r="F2702" t="s">
        <v>4105</v>
      </c>
      <c r="G2702" t="s">
        <v>9731</v>
      </c>
      <c r="H2702" t="s">
        <v>17</v>
      </c>
      <c r="I2702" t="s">
        <v>18</v>
      </c>
      <c r="J2702" t="str">
        <f>"5144480711"</f>
        <v>5144480711</v>
      </c>
      <c r="K2702" t="s">
        <v>9732</v>
      </c>
      <c r="L2702" t="s">
        <v>198</v>
      </c>
      <c r="M2702" t="s">
        <v>21</v>
      </c>
    </row>
    <row r="2703" spans="1:13" x14ac:dyDescent="0.35">
      <c r="A2703" t="str">
        <f>"632-3132"</f>
        <v>632-3132</v>
      </c>
      <c r="B2703" t="s">
        <v>9733</v>
      </c>
      <c r="C2703" t="str">
        <f>"541"</f>
        <v>541</v>
      </c>
      <c r="E2703" t="s">
        <v>9734</v>
      </c>
      <c r="F2703" t="s">
        <v>157</v>
      </c>
      <c r="G2703" t="s">
        <v>9735</v>
      </c>
      <c r="H2703" t="s">
        <v>17</v>
      </c>
      <c r="I2703" t="s">
        <v>18</v>
      </c>
      <c r="J2703" t="str">
        <f>"4383997678"</f>
        <v>4383997678</v>
      </c>
      <c r="K2703" t="s">
        <v>9736</v>
      </c>
      <c r="L2703" t="s">
        <v>466</v>
      </c>
      <c r="M2703" t="s">
        <v>21</v>
      </c>
    </row>
    <row r="2704" spans="1:13" x14ac:dyDescent="0.35">
      <c r="A2704" t="str">
        <f>"211-3620"</f>
        <v>211-3620</v>
      </c>
      <c r="B2704" t="s">
        <v>9737</v>
      </c>
      <c r="C2704" t="str">
        <f>"1844"</f>
        <v>1844</v>
      </c>
      <c r="D2704" t="str">
        <f>"3"</f>
        <v>3</v>
      </c>
      <c r="E2704" t="s">
        <v>9738</v>
      </c>
      <c r="F2704" t="s">
        <v>54</v>
      </c>
      <c r="G2704" t="s">
        <v>9739</v>
      </c>
      <c r="H2704" t="s">
        <v>17</v>
      </c>
      <c r="I2704" t="s">
        <v>18</v>
      </c>
      <c r="J2704" t="str">
        <f>"2633802102"</f>
        <v>2633802102</v>
      </c>
      <c r="K2704" t="s">
        <v>9740</v>
      </c>
      <c r="L2704" t="s">
        <v>9741</v>
      </c>
      <c r="M2704" t="s">
        <v>21</v>
      </c>
    </row>
    <row r="2705" spans="1:13" x14ac:dyDescent="0.35">
      <c r="A2705" t="str">
        <f>"196-5596"</f>
        <v>196-5596</v>
      </c>
      <c r="B2705" t="s">
        <v>9742</v>
      </c>
      <c r="C2705" t="str">
        <f>"822"</f>
        <v>822</v>
      </c>
      <c r="E2705" t="s">
        <v>837</v>
      </c>
      <c r="F2705" t="s">
        <v>24</v>
      </c>
      <c r="G2705" t="s">
        <v>9743</v>
      </c>
      <c r="H2705" t="s">
        <v>17</v>
      </c>
      <c r="I2705" t="s">
        <v>18</v>
      </c>
      <c r="J2705" t="str">
        <f>"5142107140"</f>
        <v>5142107140</v>
      </c>
      <c r="K2705" t="s">
        <v>9744</v>
      </c>
      <c r="L2705" t="s">
        <v>27</v>
      </c>
      <c r="M2705" t="s">
        <v>21</v>
      </c>
    </row>
    <row r="2706" spans="1:13" x14ac:dyDescent="0.35">
      <c r="A2706" t="str">
        <f>"246-7055"</f>
        <v>246-7055</v>
      </c>
      <c r="B2706" t="s">
        <v>9745</v>
      </c>
      <c r="C2706" t="str">
        <f>"4245"</f>
        <v>4245</v>
      </c>
      <c r="D2706" t="str">
        <f>"2"</f>
        <v>2</v>
      </c>
      <c r="E2706" t="s">
        <v>1780</v>
      </c>
      <c r="F2706" t="s">
        <v>24</v>
      </c>
      <c r="G2706" t="s">
        <v>9746</v>
      </c>
      <c r="H2706" t="s">
        <v>17</v>
      </c>
      <c r="I2706" t="s">
        <v>18</v>
      </c>
      <c r="J2706" t="str">
        <f>"5148176738"</f>
        <v>5148176738</v>
      </c>
      <c r="K2706" t="s">
        <v>9747</v>
      </c>
      <c r="L2706" t="s">
        <v>137</v>
      </c>
      <c r="M2706" t="s">
        <v>21</v>
      </c>
    </row>
    <row r="2707" spans="1:13" x14ac:dyDescent="0.35">
      <c r="A2707" t="str">
        <f>"215-1518"</f>
        <v>215-1518</v>
      </c>
      <c r="B2707" t="s">
        <v>9748</v>
      </c>
      <c r="C2707" t="str">
        <f>"1410"</f>
        <v>1410</v>
      </c>
      <c r="E2707" t="s">
        <v>9749</v>
      </c>
      <c r="F2707" t="s">
        <v>2192</v>
      </c>
      <c r="G2707" t="s">
        <v>9750</v>
      </c>
      <c r="H2707" t="s">
        <v>17</v>
      </c>
      <c r="I2707" t="s">
        <v>18</v>
      </c>
      <c r="J2707" t="str">
        <f>"4502048271"</f>
        <v>4502048271</v>
      </c>
      <c r="K2707" t="s">
        <v>9751</v>
      </c>
      <c r="L2707" t="s">
        <v>9752</v>
      </c>
      <c r="M2707" t="s">
        <v>21</v>
      </c>
    </row>
    <row r="2708" spans="1:13" x14ac:dyDescent="0.35">
      <c r="A2708" t="str">
        <f>"056-4264"</f>
        <v>056-4264</v>
      </c>
      <c r="M2708" t="s">
        <v>51</v>
      </c>
    </row>
    <row r="2709" spans="1:13" x14ac:dyDescent="0.35">
      <c r="A2709" t="str">
        <f>"062-5429"</f>
        <v>062-5429</v>
      </c>
      <c r="M2709" t="s">
        <v>51</v>
      </c>
    </row>
    <row r="2710" spans="1:13" x14ac:dyDescent="0.35">
      <c r="A2710" t="str">
        <f>"066-4527"</f>
        <v>066-4527</v>
      </c>
      <c r="M2710" t="s">
        <v>51</v>
      </c>
    </row>
    <row r="2711" spans="1:13" x14ac:dyDescent="0.35">
      <c r="A2711" t="str">
        <f>"081-6982"</f>
        <v>081-6982</v>
      </c>
      <c r="M2711" t="s">
        <v>51</v>
      </c>
    </row>
    <row r="2712" spans="1:13" x14ac:dyDescent="0.35">
      <c r="A2712" t="str">
        <f>"083-1934"</f>
        <v>083-1934</v>
      </c>
      <c r="M2712" t="s">
        <v>51</v>
      </c>
    </row>
    <row r="2713" spans="1:13" x14ac:dyDescent="0.35">
      <c r="A2713" t="str">
        <f>"108-6296"</f>
        <v>108-6296</v>
      </c>
      <c r="M2713" t="s">
        <v>51</v>
      </c>
    </row>
    <row r="2714" spans="1:13" x14ac:dyDescent="0.35">
      <c r="A2714" t="str">
        <f>"112-1342"</f>
        <v>112-1342</v>
      </c>
      <c r="M2714" t="s">
        <v>51</v>
      </c>
    </row>
    <row r="2715" spans="1:13" x14ac:dyDescent="0.35">
      <c r="A2715" t="str">
        <f>"130-5698"</f>
        <v>130-5698</v>
      </c>
      <c r="M2715" t="s">
        <v>51</v>
      </c>
    </row>
    <row r="2716" spans="1:13" x14ac:dyDescent="0.35">
      <c r="A2716" t="str">
        <f>"096-2531"</f>
        <v>096-2531</v>
      </c>
      <c r="M2716" t="s">
        <v>51</v>
      </c>
    </row>
    <row r="2717" spans="1:13" x14ac:dyDescent="0.35">
      <c r="A2717" t="str">
        <f>"146-4757"</f>
        <v>146-4757</v>
      </c>
      <c r="M2717" t="s">
        <v>51</v>
      </c>
    </row>
    <row r="2718" spans="1:13" x14ac:dyDescent="0.35">
      <c r="A2718" t="str">
        <f>"144-9552"</f>
        <v>144-9552</v>
      </c>
      <c r="M2718" t="s">
        <v>51</v>
      </c>
    </row>
    <row r="2719" spans="1:13" x14ac:dyDescent="0.35">
      <c r="A2719" t="str">
        <f>"126-0043"</f>
        <v>126-0043</v>
      </c>
      <c r="M2719" t="s">
        <v>51</v>
      </c>
    </row>
    <row r="2720" spans="1:13" x14ac:dyDescent="0.35">
      <c r="A2720" t="str">
        <f>"156-3112"</f>
        <v>156-3112</v>
      </c>
      <c r="M2720" t="s">
        <v>51</v>
      </c>
    </row>
    <row r="2721" spans="1:13" x14ac:dyDescent="0.35">
      <c r="A2721" t="str">
        <f>"143-2107"</f>
        <v>143-2107</v>
      </c>
      <c r="M2721" t="s">
        <v>51</v>
      </c>
    </row>
    <row r="2722" spans="1:13" x14ac:dyDescent="0.35">
      <c r="A2722" t="str">
        <f>"170-2687"</f>
        <v>170-2687</v>
      </c>
      <c r="M2722" t="s">
        <v>51</v>
      </c>
    </row>
    <row r="2723" spans="1:13" x14ac:dyDescent="0.35">
      <c r="A2723" t="str">
        <f>"170-6266"</f>
        <v>170-6266</v>
      </c>
      <c r="M2723" t="s">
        <v>51</v>
      </c>
    </row>
    <row r="2724" spans="1:13" x14ac:dyDescent="0.35">
      <c r="A2724" t="str">
        <f>"171-0789"</f>
        <v>171-0789</v>
      </c>
      <c r="M2724" t="s">
        <v>51</v>
      </c>
    </row>
    <row r="2725" spans="1:13" x14ac:dyDescent="0.35">
      <c r="A2725" t="str">
        <f>"165-5964"</f>
        <v>165-5964</v>
      </c>
      <c r="M2725" t="s">
        <v>51</v>
      </c>
    </row>
    <row r="2726" spans="1:13" x14ac:dyDescent="0.35">
      <c r="A2726" t="str">
        <f>"178-5054"</f>
        <v>178-5054</v>
      </c>
      <c r="M2726" t="s">
        <v>51</v>
      </c>
    </row>
    <row r="2727" spans="1:13" x14ac:dyDescent="0.35">
      <c r="A2727" t="str">
        <f>"177-3721"</f>
        <v>177-3721</v>
      </c>
      <c r="M2727" t="s">
        <v>51</v>
      </c>
    </row>
    <row r="2728" spans="1:13" x14ac:dyDescent="0.35">
      <c r="A2728" t="str">
        <f>"176-1323"</f>
        <v>176-1323</v>
      </c>
      <c r="M2728" t="s">
        <v>51</v>
      </c>
    </row>
    <row r="2729" spans="1:13" x14ac:dyDescent="0.35">
      <c r="A2729" t="str">
        <f>"178-2843"</f>
        <v>178-2843</v>
      </c>
      <c r="M2729" t="s">
        <v>51</v>
      </c>
    </row>
    <row r="2730" spans="1:13" x14ac:dyDescent="0.35">
      <c r="A2730" t="str">
        <f>"172-1917"</f>
        <v>172-1917</v>
      </c>
      <c r="M2730" t="s">
        <v>51</v>
      </c>
    </row>
    <row r="2731" spans="1:13" x14ac:dyDescent="0.35">
      <c r="A2731" t="str">
        <f>"183-7905"</f>
        <v>183-7905</v>
      </c>
      <c r="M2731" t="s">
        <v>51</v>
      </c>
    </row>
    <row r="2732" spans="1:13" x14ac:dyDescent="0.35">
      <c r="A2732" t="str">
        <f>"068-1614"</f>
        <v>068-1614</v>
      </c>
      <c r="M2732" t="s">
        <v>51</v>
      </c>
    </row>
    <row r="2733" spans="1:13" x14ac:dyDescent="0.35">
      <c r="A2733" t="str">
        <f>"087-6184"</f>
        <v>087-6184</v>
      </c>
      <c r="M2733" t="s">
        <v>51</v>
      </c>
    </row>
    <row r="2734" spans="1:13" x14ac:dyDescent="0.35">
      <c r="A2734" t="str">
        <f>"187-6125"</f>
        <v>187-6125</v>
      </c>
      <c r="M2734" t="s">
        <v>51</v>
      </c>
    </row>
    <row r="2735" spans="1:13" x14ac:dyDescent="0.35">
      <c r="A2735" t="str">
        <f>"187-2177"</f>
        <v>187-2177</v>
      </c>
      <c r="M2735" t="s">
        <v>51</v>
      </c>
    </row>
    <row r="2736" spans="1:13" x14ac:dyDescent="0.35">
      <c r="A2736" t="str">
        <f>"190-8485"</f>
        <v>190-8485</v>
      </c>
      <c r="M2736" t="s">
        <v>51</v>
      </c>
    </row>
    <row r="2737" spans="1:13" x14ac:dyDescent="0.35">
      <c r="A2737" t="str">
        <f>"178-0145"</f>
        <v>178-0145</v>
      </c>
      <c r="M2737" t="s">
        <v>51</v>
      </c>
    </row>
    <row r="2738" spans="1:13" x14ac:dyDescent="0.35">
      <c r="A2738" t="str">
        <f>"177-1822"</f>
        <v>177-1822</v>
      </c>
      <c r="M2738" t="s">
        <v>51</v>
      </c>
    </row>
    <row r="2739" spans="1:13" x14ac:dyDescent="0.35">
      <c r="A2739" t="str">
        <f>"108-6227"</f>
        <v>108-6227</v>
      </c>
      <c r="M2739" t="s">
        <v>51</v>
      </c>
    </row>
    <row r="2740" spans="1:13" x14ac:dyDescent="0.35">
      <c r="A2740" t="str">
        <f>"125-7941"</f>
        <v>125-7941</v>
      </c>
      <c r="M2740" t="s">
        <v>51</v>
      </c>
    </row>
    <row r="2741" spans="1:13" x14ac:dyDescent="0.35">
      <c r="A2741" t="str">
        <f>"198-5013"</f>
        <v>198-5013</v>
      </c>
      <c r="M2741" t="s">
        <v>51</v>
      </c>
    </row>
    <row r="2742" spans="1:13" x14ac:dyDescent="0.35">
      <c r="A2742" t="str">
        <f>"056-7218"</f>
        <v>056-7218</v>
      </c>
      <c r="M2742" t="s">
        <v>51</v>
      </c>
    </row>
    <row r="2743" spans="1:13" x14ac:dyDescent="0.35">
      <c r="A2743" t="str">
        <f>"192-2702"</f>
        <v>192-2702</v>
      </c>
      <c r="M2743" t="s">
        <v>51</v>
      </c>
    </row>
    <row r="2744" spans="1:13" x14ac:dyDescent="0.35">
      <c r="A2744" t="str">
        <f>"198-1276"</f>
        <v>198-1276</v>
      </c>
      <c r="M2744" t="s">
        <v>51</v>
      </c>
    </row>
    <row r="2745" spans="1:13" x14ac:dyDescent="0.35">
      <c r="A2745" t="str">
        <f>"198-6111"</f>
        <v>198-6111</v>
      </c>
      <c r="M2745" t="s">
        <v>51</v>
      </c>
    </row>
    <row r="2746" spans="1:13" x14ac:dyDescent="0.35">
      <c r="A2746" t="str">
        <f>"196-6893"</f>
        <v>196-6893</v>
      </c>
      <c r="M2746" t="s">
        <v>51</v>
      </c>
    </row>
    <row r="2747" spans="1:13" x14ac:dyDescent="0.35">
      <c r="A2747" t="str">
        <f>"201-3647"</f>
        <v>201-3647</v>
      </c>
      <c r="M2747" t="s">
        <v>51</v>
      </c>
    </row>
    <row r="2748" spans="1:13" x14ac:dyDescent="0.35">
      <c r="A2748" t="str">
        <f>"174-9543"</f>
        <v>174-9543</v>
      </c>
      <c r="M2748" t="s">
        <v>51</v>
      </c>
    </row>
    <row r="2749" spans="1:13" x14ac:dyDescent="0.35">
      <c r="A2749" t="str">
        <f>"187-3442"</f>
        <v>187-3442</v>
      </c>
      <c r="M2749" t="s">
        <v>51</v>
      </c>
    </row>
    <row r="2750" spans="1:13" x14ac:dyDescent="0.35">
      <c r="A2750" t="str">
        <f>"187-9178"</f>
        <v>187-9178</v>
      </c>
      <c r="M2750" t="s">
        <v>51</v>
      </c>
    </row>
    <row r="2751" spans="1:13" x14ac:dyDescent="0.35">
      <c r="A2751" t="str">
        <f>"123-4856"</f>
        <v>123-4856</v>
      </c>
      <c r="M2751" t="s">
        <v>51</v>
      </c>
    </row>
    <row r="2752" spans="1:13" x14ac:dyDescent="0.35">
      <c r="A2752" t="str">
        <f>"186-1349"</f>
        <v>186-1349</v>
      </c>
      <c r="M2752" t="s">
        <v>51</v>
      </c>
    </row>
    <row r="2753" spans="1:13" x14ac:dyDescent="0.35">
      <c r="A2753" t="str">
        <f>"200-5551"</f>
        <v>200-5551</v>
      </c>
      <c r="M2753" t="s">
        <v>51</v>
      </c>
    </row>
    <row r="2754" spans="1:13" x14ac:dyDescent="0.35">
      <c r="A2754" t="str">
        <f>"201-8910"</f>
        <v>201-8910</v>
      </c>
      <c r="M2754" t="s">
        <v>51</v>
      </c>
    </row>
    <row r="2755" spans="1:13" x14ac:dyDescent="0.35">
      <c r="A2755" t="str">
        <f>"133-7828"</f>
        <v>133-7828</v>
      </c>
      <c r="M2755" t="s">
        <v>51</v>
      </c>
    </row>
    <row r="2756" spans="1:13" x14ac:dyDescent="0.35">
      <c r="A2756" t="str">
        <f>"208-1040"</f>
        <v>208-1040</v>
      </c>
      <c r="M2756" t="s">
        <v>51</v>
      </c>
    </row>
    <row r="2757" spans="1:13" x14ac:dyDescent="0.35">
      <c r="A2757" t="str">
        <f>"197-1445"</f>
        <v>197-1445</v>
      </c>
      <c r="M2757" t="s">
        <v>51</v>
      </c>
    </row>
    <row r="2758" spans="1:13" x14ac:dyDescent="0.35">
      <c r="A2758" t="str">
        <f>"204-0804"</f>
        <v>204-0804</v>
      </c>
      <c r="M2758" t="s">
        <v>51</v>
      </c>
    </row>
    <row r="2759" spans="1:13" x14ac:dyDescent="0.35">
      <c r="A2759" t="str">
        <f>"122-6241"</f>
        <v>122-6241</v>
      </c>
      <c r="M2759" t="s">
        <v>51</v>
      </c>
    </row>
    <row r="2760" spans="1:13" x14ac:dyDescent="0.35">
      <c r="A2760" t="str">
        <f>"149-0881"</f>
        <v>149-0881</v>
      </c>
      <c r="M2760" t="s">
        <v>51</v>
      </c>
    </row>
    <row r="2761" spans="1:13" x14ac:dyDescent="0.35">
      <c r="A2761" t="str">
        <f>"203-7179"</f>
        <v>203-7179</v>
      </c>
      <c r="M2761" t="s">
        <v>51</v>
      </c>
    </row>
    <row r="2762" spans="1:13" x14ac:dyDescent="0.35">
      <c r="A2762" t="str">
        <f>"205-2267"</f>
        <v>205-2267</v>
      </c>
      <c r="M2762" t="s">
        <v>51</v>
      </c>
    </row>
    <row r="2763" spans="1:13" x14ac:dyDescent="0.35">
      <c r="A2763" t="str">
        <f>"206-4676"</f>
        <v>206-4676</v>
      </c>
      <c r="M2763" t="s">
        <v>51</v>
      </c>
    </row>
    <row r="2764" spans="1:13" x14ac:dyDescent="0.35">
      <c r="A2764" t="str">
        <f>"207-0115"</f>
        <v>207-0115</v>
      </c>
      <c r="M2764" t="s">
        <v>51</v>
      </c>
    </row>
    <row r="2765" spans="1:13" x14ac:dyDescent="0.35">
      <c r="A2765" t="str">
        <f>"208-2336"</f>
        <v>208-2336</v>
      </c>
      <c r="M2765" t="s">
        <v>51</v>
      </c>
    </row>
    <row r="2766" spans="1:13" x14ac:dyDescent="0.35">
      <c r="A2766" t="str">
        <f>"107-8821"</f>
        <v>107-8821</v>
      </c>
      <c r="M2766" t="s">
        <v>51</v>
      </c>
    </row>
    <row r="2767" spans="1:13" x14ac:dyDescent="0.35">
      <c r="A2767" t="str">
        <f>"086-6500"</f>
        <v>086-6500</v>
      </c>
      <c r="M2767" t="s">
        <v>51</v>
      </c>
    </row>
    <row r="2768" spans="1:13" x14ac:dyDescent="0.35">
      <c r="A2768" t="str">
        <f>"166-6133"</f>
        <v>166-6133</v>
      </c>
      <c r="M2768" t="s">
        <v>51</v>
      </c>
    </row>
    <row r="2769" spans="1:13" x14ac:dyDescent="0.35">
      <c r="A2769" t="str">
        <f>"188-3641"</f>
        <v>188-3641</v>
      </c>
      <c r="M2769" t="s">
        <v>51</v>
      </c>
    </row>
    <row r="2770" spans="1:13" x14ac:dyDescent="0.35">
      <c r="A2770" t="str">
        <f>"207-8347"</f>
        <v>207-8347</v>
      </c>
      <c r="M2770" t="s">
        <v>51</v>
      </c>
    </row>
    <row r="2771" spans="1:13" x14ac:dyDescent="0.35">
      <c r="A2771" t="str">
        <f>"208-6104"</f>
        <v>208-6104</v>
      </c>
      <c r="M2771" t="s">
        <v>51</v>
      </c>
    </row>
    <row r="2772" spans="1:13" x14ac:dyDescent="0.35">
      <c r="A2772" t="str">
        <f>"208-7373"</f>
        <v>208-7373</v>
      </c>
      <c r="M2772" t="s">
        <v>51</v>
      </c>
    </row>
    <row r="2773" spans="1:13" x14ac:dyDescent="0.35">
      <c r="A2773" t="str">
        <f>"118-7591"</f>
        <v>118-7591</v>
      </c>
      <c r="M2773" t="s">
        <v>51</v>
      </c>
    </row>
    <row r="2774" spans="1:13" x14ac:dyDescent="0.35">
      <c r="A2774" t="str">
        <f>"205-1791"</f>
        <v>205-1791</v>
      </c>
      <c r="M2774" t="s">
        <v>51</v>
      </c>
    </row>
    <row r="2775" spans="1:13" x14ac:dyDescent="0.35">
      <c r="A2775" t="str">
        <f>"194-0030"</f>
        <v>194-0030</v>
      </c>
      <c r="M2775" t="s">
        <v>51</v>
      </c>
    </row>
    <row r="2776" spans="1:13" x14ac:dyDescent="0.35">
      <c r="A2776" t="str">
        <f>"616-0733"</f>
        <v>616-0733</v>
      </c>
      <c r="M2776" t="s">
        <v>51</v>
      </c>
    </row>
    <row r="2777" spans="1:13" x14ac:dyDescent="0.35">
      <c r="A2777" t="str">
        <f>"208-6494"</f>
        <v>208-6494</v>
      </c>
      <c r="M2777" t="s">
        <v>51</v>
      </c>
    </row>
    <row r="2778" spans="1:13" x14ac:dyDescent="0.35">
      <c r="A2778" t="str">
        <f>"154-5075"</f>
        <v>154-5075</v>
      </c>
      <c r="M2778" t="s">
        <v>51</v>
      </c>
    </row>
    <row r="2779" spans="1:13" x14ac:dyDescent="0.35">
      <c r="A2779" t="str">
        <f>"211-3228"</f>
        <v>211-3228</v>
      </c>
      <c r="M2779" t="s">
        <v>51</v>
      </c>
    </row>
    <row r="2780" spans="1:13" x14ac:dyDescent="0.35">
      <c r="A2780" t="str">
        <f>"210-4161"</f>
        <v>210-4161</v>
      </c>
      <c r="M2780" t="s">
        <v>51</v>
      </c>
    </row>
    <row r="2781" spans="1:13" x14ac:dyDescent="0.35">
      <c r="A2781" t="str">
        <f>"205-0586"</f>
        <v>205-0586</v>
      </c>
      <c r="M2781" t="s">
        <v>51</v>
      </c>
    </row>
    <row r="2782" spans="1:13" x14ac:dyDescent="0.35">
      <c r="A2782" t="str">
        <f>"210-8336"</f>
        <v>210-8336</v>
      </c>
      <c r="M2782" t="s">
        <v>51</v>
      </c>
    </row>
    <row r="2783" spans="1:13" x14ac:dyDescent="0.35">
      <c r="A2783" t="str">
        <f>"212-5400"</f>
        <v>212-5400</v>
      </c>
      <c r="M2783" t="s">
        <v>51</v>
      </c>
    </row>
    <row r="2784" spans="1:13" x14ac:dyDescent="0.35">
      <c r="A2784" t="str">
        <f>"214-7651"</f>
        <v>214-7651</v>
      </c>
      <c r="M2784" t="s">
        <v>51</v>
      </c>
    </row>
    <row r="2785" spans="1:13" x14ac:dyDescent="0.35">
      <c r="A2785" t="str">
        <f>"217-2287"</f>
        <v>217-2287</v>
      </c>
      <c r="M2785" t="s">
        <v>51</v>
      </c>
    </row>
    <row r="2786" spans="1:13" x14ac:dyDescent="0.35">
      <c r="A2786" t="str">
        <f>"218-6031"</f>
        <v>218-6031</v>
      </c>
      <c r="M2786" t="s">
        <v>51</v>
      </c>
    </row>
    <row r="2787" spans="1:13" x14ac:dyDescent="0.35">
      <c r="A2787" t="str">
        <f>"216-4677"</f>
        <v>216-4677</v>
      </c>
      <c r="M2787" t="s">
        <v>51</v>
      </c>
    </row>
    <row r="2788" spans="1:13" x14ac:dyDescent="0.35">
      <c r="A2788" t="str">
        <f>"218-7060"</f>
        <v>218-7060</v>
      </c>
      <c r="M2788" t="s">
        <v>51</v>
      </c>
    </row>
    <row r="2789" spans="1:13" x14ac:dyDescent="0.35">
      <c r="A2789" t="str">
        <f>"102-9178"</f>
        <v>102-9178</v>
      </c>
      <c r="M2789" t="s">
        <v>51</v>
      </c>
    </row>
    <row r="2790" spans="1:13" x14ac:dyDescent="0.35">
      <c r="A2790" t="str">
        <f>"123-0081"</f>
        <v>123-0081</v>
      </c>
      <c r="M2790" t="s">
        <v>51</v>
      </c>
    </row>
    <row r="2791" spans="1:13" x14ac:dyDescent="0.35">
      <c r="A2791" t="str">
        <f>"126-9709"</f>
        <v>126-9709</v>
      </c>
      <c r="M2791" t="s">
        <v>51</v>
      </c>
    </row>
    <row r="2792" spans="1:13" x14ac:dyDescent="0.35">
      <c r="A2792" t="str">
        <f>"142-8128"</f>
        <v>142-8128</v>
      </c>
      <c r="M2792" t="s">
        <v>51</v>
      </c>
    </row>
    <row r="2793" spans="1:13" x14ac:dyDescent="0.35">
      <c r="A2793" t="str">
        <f>"185-9452"</f>
        <v>185-9452</v>
      </c>
      <c r="M2793" t="s">
        <v>51</v>
      </c>
    </row>
    <row r="2794" spans="1:13" x14ac:dyDescent="0.35">
      <c r="A2794" t="str">
        <f>"186-9333"</f>
        <v>186-9333</v>
      </c>
      <c r="M2794" t="s">
        <v>51</v>
      </c>
    </row>
    <row r="2795" spans="1:13" x14ac:dyDescent="0.35">
      <c r="A2795" t="str">
        <f>"200-6281"</f>
        <v>200-6281</v>
      </c>
      <c r="M2795" t="s">
        <v>51</v>
      </c>
    </row>
    <row r="2796" spans="1:13" x14ac:dyDescent="0.35">
      <c r="A2796" t="str">
        <f>"213-0615"</f>
        <v>213-0615</v>
      </c>
      <c r="M2796" t="s">
        <v>51</v>
      </c>
    </row>
    <row r="2797" spans="1:13" x14ac:dyDescent="0.35">
      <c r="A2797" t="str">
        <f>"214-8010"</f>
        <v>214-8010</v>
      </c>
      <c r="M2797" t="s">
        <v>51</v>
      </c>
    </row>
    <row r="2798" spans="1:13" x14ac:dyDescent="0.35">
      <c r="A2798" t="str">
        <f>"215-1788"</f>
        <v>215-1788</v>
      </c>
      <c r="M2798" t="s">
        <v>51</v>
      </c>
    </row>
    <row r="2799" spans="1:13" x14ac:dyDescent="0.35">
      <c r="A2799" t="str">
        <f>"216-7795"</f>
        <v>216-7795</v>
      </c>
      <c r="M2799" t="s">
        <v>51</v>
      </c>
    </row>
    <row r="2800" spans="1:13" x14ac:dyDescent="0.35">
      <c r="A2800" t="str">
        <f>"217-0846"</f>
        <v>217-0846</v>
      </c>
      <c r="M2800" t="s">
        <v>51</v>
      </c>
    </row>
    <row r="2801" spans="1:13" x14ac:dyDescent="0.35">
      <c r="A2801" t="str">
        <f>"217-9729"</f>
        <v>217-9729</v>
      </c>
      <c r="M2801" t="s">
        <v>51</v>
      </c>
    </row>
    <row r="2802" spans="1:13" x14ac:dyDescent="0.35">
      <c r="A2802" t="str">
        <f>"200-3727"</f>
        <v>200-3727</v>
      </c>
      <c r="M2802" t="s">
        <v>51</v>
      </c>
    </row>
    <row r="2803" spans="1:13" x14ac:dyDescent="0.35">
      <c r="A2803" t="str">
        <f>"185-7387"</f>
        <v>185-7387</v>
      </c>
      <c r="M2803" t="s">
        <v>51</v>
      </c>
    </row>
    <row r="2804" spans="1:13" x14ac:dyDescent="0.35">
      <c r="A2804" t="str">
        <f>"217-0013"</f>
        <v>217-0013</v>
      </c>
      <c r="M2804" t="s">
        <v>51</v>
      </c>
    </row>
    <row r="2805" spans="1:13" x14ac:dyDescent="0.35">
      <c r="A2805" t="str">
        <f>"218-1454"</f>
        <v>218-1454</v>
      </c>
      <c r="M2805" t="s">
        <v>51</v>
      </c>
    </row>
    <row r="2806" spans="1:13" x14ac:dyDescent="0.35">
      <c r="A2806" t="str">
        <f>"220-0428"</f>
        <v>220-0428</v>
      </c>
      <c r="M2806" t="s">
        <v>51</v>
      </c>
    </row>
    <row r="2807" spans="1:13" x14ac:dyDescent="0.35">
      <c r="A2807" t="str">
        <f>"218-1760"</f>
        <v>218-1760</v>
      </c>
      <c r="M2807" t="s">
        <v>51</v>
      </c>
    </row>
    <row r="2808" spans="1:13" x14ac:dyDescent="0.35">
      <c r="A2808" t="str">
        <f>"218-3610"</f>
        <v>218-3610</v>
      </c>
      <c r="M2808" t="s">
        <v>51</v>
      </c>
    </row>
    <row r="2809" spans="1:13" x14ac:dyDescent="0.35">
      <c r="A2809" t="str">
        <f>"219-9081"</f>
        <v>219-9081</v>
      </c>
      <c r="M2809" t="s">
        <v>51</v>
      </c>
    </row>
    <row r="2810" spans="1:13" x14ac:dyDescent="0.35">
      <c r="A2810" t="str">
        <f>"219-9105"</f>
        <v>219-9105</v>
      </c>
      <c r="M2810" t="s">
        <v>51</v>
      </c>
    </row>
    <row r="2811" spans="1:13" x14ac:dyDescent="0.35">
      <c r="A2811" t="str">
        <f>"220-0564"</f>
        <v>220-0564</v>
      </c>
      <c r="M2811" t="s">
        <v>51</v>
      </c>
    </row>
    <row r="2812" spans="1:13" x14ac:dyDescent="0.35">
      <c r="A2812" t="str">
        <f>"212-2817"</f>
        <v>212-2817</v>
      </c>
      <c r="M2812" t="s">
        <v>51</v>
      </c>
    </row>
    <row r="2813" spans="1:13" x14ac:dyDescent="0.35">
      <c r="A2813" t="str">
        <f>"220-1591"</f>
        <v>220-1591</v>
      </c>
      <c r="M2813" t="s">
        <v>51</v>
      </c>
    </row>
    <row r="2814" spans="1:13" x14ac:dyDescent="0.35">
      <c r="A2814" t="str">
        <f>"619-0433"</f>
        <v>619-0433</v>
      </c>
      <c r="M2814" t="s">
        <v>51</v>
      </c>
    </row>
    <row r="2815" spans="1:13" x14ac:dyDescent="0.35">
      <c r="A2815" t="str">
        <f>"220-4490"</f>
        <v>220-4490</v>
      </c>
      <c r="M2815" t="s">
        <v>51</v>
      </c>
    </row>
    <row r="2816" spans="1:13" x14ac:dyDescent="0.35">
      <c r="A2816" t="str">
        <f>"035-7621"</f>
        <v>035-7621</v>
      </c>
      <c r="M2816" t="s">
        <v>51</v>
      </c>
    </row>
    <row r="2817" spans="1:13" x14ac:dyDescent="0.35">
      <c r="A2817" t="str">
        <f>"217-8763"</f>
        <v>217-8763</v>
      </c>
      <c r="M2817" t="s">
        <v>51</v>
      </c>
    </row>
    <row r="2818" spans="1:13" x14ac:dyDescent="0.35">
      <c r="A2818" t="str">
        <f>"222-0609"</f>
        <v>222-0609</v>
      </c>
      <c r="M2818" t="s">
        <v>51</v>
      </c>
    </row>
    <row r="2819" spans="1:13" x14ac:dyDescent="0.35">
      <c r="A2819" t="str">
        <f>"174-0668"</f>
        <v>174-0668</v>
      </c>
      <c r="M2819" t="s">
        <v>51</v>
      </c>
    </row>
    <row r="2820" spans="1:13" x14ac:dyDescent="0.35">
      <c r="A2820" t="str">
        <f>"125-5954"</f>
        <v>125-5954</v>
      </c>
      <c r="M2820" t="s">
        <v>51</v>
      </c>
    </row>
    <row r="2821" spans="1:13" x14ac:dyDescent="0.35">
      <c r="A2821" t="str">
        <f>"189-0901"</f>
        <v>189-0901</v>
      </c>
      <c r="M2821" t="s">
        <v>51</v>
      </c>
    </row>
    <row r="2822" spans="1:13" x14ac:dyDescent="0.35">
      <c r="A2822" t="str">
        <f>"216-3754"</f>
        <v>216-3754</v>
      </c>
      <c r="M2822" t="s">
        <v>51</v>
      </c>
    </row>
    <row r="2823" spans="1:13" x14ac:dyDescent="0.35">
      <c r="A2823" t="str">
        <f>"218-8165"</f>
        <v>218-8165</v>
      </c>
      <c r="M2823" t="s">
        <v>51</v>
      </c>
    </row>
    <row r="2824" spans="1:13" x14ac:dyDescent="0.35">
      <c r="A2824" t="str">
        <f>"197-1165"</f>
        <v>197-1165</v>
      </c>
      <c r="M2824" t="s">
        <v>51</v>
      </c>
    </row>
    <row r="2825" spans="1:13" x14ac:dyDescent="0.35">
      <c r="A2825" t="str">
        <f>"004-2481"</f>
        <v>004-2481</v>
      </c>
      <c r="M2825" t="s">
        <v>51</v>
      </c>
    </row>
    <row r="2826" spans="1:13" x14ac:dyDescent="0.35">
      <c r="A2826" t="str">
        <f>"155-8078"</f>
        <v>155-8078</v>
      </c>
      <c r="M2826" t="s">
        <v>51</v>
      </c>
    </row>
    <row r="2827" spans="1:13" x14ac:dyDescent="0.35">
      <c r="A2827" t="str">
        <f>"229-0141"</f>
        <v>229-0141</v>
      </c>
      <c r="M2827" t="s">
        <v>51</v>
      </c>
    </row>
    <row r="2828" spans="1:13" x14ac:dyDescent="0.35">
      <c r="A2828" t="str">
        <f>"229-0264"</f>
        <v>229-0264</v>
      </c>
      <c r="M2828" t="s">
        <v>51</v>
      </c>
    </row>
    <row r="2829" spans="1:13" x14ac:dyDescent="0.35">
      <c r="A2829" t="str">
        <f>"154-3539"</f>
        <v>154-3539</v>
      </c>
      <c r="M2829" t="s">
        <v>51</v>
      </c>
    </row>
    <row r="2830" spans="1:13" x14ac:dyDescent="0.35">
      <c r="A2830" t="str">
        <f>"226-1870"</f>
        <v>226-1870</v>
      </c>
      <c r="M2830" t="s">
        <v>51</v>
      </c>
    </row>
    <row r="2831" spans="1:13" x14ac:dyDescent="0.35">
      <c r="A2831" t="str">
        <f>"226-2370"</f>
        <v>226-2370</v>
      </c>
      <c r="M2831" t="s">
        <v>51</v>
      </c>
    </row>
    <row r="2832" spans="1:13" x14ac:dyDescent="0.35">
      <c r="A2832" t="str">
        <f>"227-1492"</f>
        <v>227-1492</v>
      </c>
      <c r="M2832" t="s">
        <v>51</v>
      </c>
    </row>
    <row r="2833" spans="1:13" x14ac:dyDescent="0.35">
      <c r="A2833" t="str">
        <f>"228-1055"</f>
        <v>228-1055</v>
      </c>
      <c r="M2833" t="s">
        <v>51</v>
      </c>
    </row>
    <row r="2834" spans="1:13" x14ac:dyDescent="0.35">
      <c r="A2834" t="str">
        <f>"116-1195"</f>
        <v>116-1195</v>
      </c>
      <c r="M2834" t="s">
        <v>51</v>
      </c>
    </row>
    <row r="2835" spans="1:13" x14ac:dyDescent="0.35">
      <c r="A2835" t="str">
        <f>"224-3556"</f>
        <v>224-3556</v>
      </c>
      <c r="M2835" t="s">
        <v>51</v>
      </c>
    </row>
    <row r="2836" spans="1:13" x14ac:dyDescent="0.35">
      <c r="A2836" t="str">
        <f>"228-2430"</f>
        <v>228-2430</v>
      </c>
      <c r="M2836" t="s">
        <v>51</v>
      </c>
    </row>
    <row r="2837" spans="1:13" x14ac:dyDescent="0.35">
      <c r="A2837" t="str">
        <f>"619-2781"</f>
        <v>619-2781</v>
      </c>
      <c r="M2837" t="s">
        <v>51</v>
      </c>
    </row>
    <row r="2838" spans="1:13" x14ac:dyDescent="0.35">
      <c r="A2838" t="str">
        <f>"619-3322"</f>
        <v>619-3322</v>
      </c>
      <c r="M2838" t="s">
        <v>51</v>
      </c>
    </row>
    <row r="2839" spans="1:13" x14ac:dyDescent="0.35">
      <c r="A2839" t="str">
        <f>"114-0917"</f>
        <v>114-0917</v>
      </c>
      <c r="M2839" t="s">
        <v>51</v>
      </c>
    </row>
    <row r="2840" spans="1:13" x14ac:dyDescent="0.35">
      <c r="A2840" t="str">
        <f>"116-0538"</f>
        <v>116-0538</v>
      </c>
      <c r="M2840" t="s">
        <v>51</v>
      </c>
    </row>
    <row r="2841" spans="1:13" x14ac:dyDescent="0.35">
      <c r="A2841" t="str">
        <f>"136-5587"</f>
        <v>136-5587</v>
      </c>
      <c r="M2841" t="s">
        <v>51</v>
      </c>
    </row>
    <row r="2842" spans="1:13" x14ac:dyDescent="0.35">
      <c r="A2842" t="str">
        <f>"145-2266"</f>
        <v>145-2266</v>
      </c>
      <c r="M2842" t="s">
        <v>51</v>
      </c>
    </row>
    <row r="2843" spans="1:13" x14ac:dyDescent="0.35">
      <c r="A2843" t="str">
        <f>"195-1895"</f>
        <v>195-1895</v>
      </c>
      <c r="M2843" t="s">
        <v>51</v>
      </c>
    </row>
    <row r="2844" spans="1:13" x14ac:dyDescent="0.35">
      <c r="A2844" t="str">
        <f>"196-5993"</f>
        <v>196-5993</v>
      </c>
      <c r="M2844" t="s">
        <v>51</v>
      </c>
    </row>
    <row r="2845" spans="1:13" x14ac:dyDescent="0.35">
      <c r="A2845" t="str">
        <f>"215-2470"</f>
        <v>215-2470</v>
      </c>
      <c r="M2845" t="s">
        <v>51</v>
      </c>
    </row>
    <row r="2846" spans="1:13" x14ac:dyDescent="0.35">
      <c r="A2846" t="str">
        <f>"216-1346"</f>
        <v>216-1346</v>
      </c>
      <c r="M2846" t="s">
        <v>51</v>
      </c>
    </row>
    <row r="2847" spans="1:13" x14ac:dyDescent="0.35">
      <c r="A2847" t="str">
        <f>"216-1357"</f>
        <v>216-1357</v>
      </c>
      <c r="M2847" t="s">
        <v>51</v>
      </c>
    </row>
    <row r="2848" spans="1:13" x14ac:dyDescent="0.35">
      <c r="A2848" t="str">
        <f>"223-7133"</f>
        <v>223-7133</v>
      </c>
      <c r="M2848" t="s">
        <v>51</v>
      </c>
    </row>
    <row r="2849" spans="1:13" x14ac:dyDescent="0.35">
      <c r="A2849" t="str">
        <f>"224-9272"</f>
        <v>224-9272</v>
      </c>
      <c r="M2849" t="s">
        <v>51</v>
      </c>
    </row>
    <row r="2850" spans="1:13" x14ac:dyDescent="0.35">
      <c r="A2850" t="str">
        <f>"225-7635"</f>
        <v>225-7635</v>
      </c>
      <c r="M2850" t="s">
        <v>51</v>
      </c>
    </row>
    <row r="2851" spans="1:13" x14ac:dyDescent="0.35">
      <c r="A2851" t="str">
        <f>"227-4726"</f>
        <v>227-4726</v>
      </c>
      <c r="M2851" t="s">
        <v>51</v>
      </c>
    </row>
    <row r="2852" spans="1:13" x14ac:dyDescent="0.35">
      <c r="A2852" t="str">
        <f>"228-4215"</f>
        <v>228-4215</v>
      </c>
      <c r="M2852" t="s">
        <v>51</v>
      </c>
    </row>
    <row r="2853" spans="1:13" x14ac:dyDescent="0.35">
      <c r="A2853" t="str">
        <f>"229-1011"</f>
        <v>229-1011</v>
      </c>
      <c r="M2853" t="s">
        <v>51</v>
      </c>
    </row>
    <row r="2854" spans="1:13" x14ac:dyDescent="0.35">
      <c r="A2854" t="str">
        <f>"228-7939"</f>
        <v>228-7939</v>
      </c>
      <c r="M2854" t="s">
        <v>51</v>
      </c>
    </row>
    <row r="2855" spans="1:13" x14ac:dyDescent="0.35">
      <c r="A2855" t="str">
        <f>"225-9838"</f>
        <v>225-9838</v>
      </c>
      <c r="M2855" t="s">
        <v>51</v>
      </c>
    </row>
    <row r="2856" spans="1:13" x14ac:dyDescent="0.35">
      <c r="A2856" t="str">
        <f>"218-8008"</f>
        <v>218-8008</v>
      </c>
      <c r="M2856" t="s">
        <v>51</v>
      </c>
    </row>
    <row r="2857" spans="1:13" x14ac:dyDescent="0.35">
      <c r="A2857" t="str">
        <f>"185-7831"</f>
        <v>185-7831</v>
      </c>
      <c r="M2857" t="s">
        <v>51</v>
      </c>
    </row>
    <row r="2858" spans="1:13" x14ac:dyDescent="0.35">
      <c r="A2858" t="str">
        <f>"174-8483"</f>
        <v>174-8483</v>
      </c>
      <c r="M2858" t="s">
        <v>51</v>
      </c>
    </row>
    <row r="2859" spans="1:13" x14ac:dyDescent="0.35">
      <c r="A2859" t="str">
        <f>"223-1629"</f>
        <v>223-1629</v>
      </c>
      <c r="M2859" t="s">
        <v>51</v>
      </c>
    </row>
    <row r="2860" spans="1:13" x14ac:dyDescent="0.35">
      <c r="A2860" t="str">
        <f>"223-4270"</f>
        <v>223-4270</v>
      </c>
      <c r="M2860" t="s">
        <v>51</v>
      </c>
    </row>
    <row r="2861" spans="1:13" x14ac:dyDescent="0.35">
      <c r="A2861" t="str">
        <f>"224-0857"</f>
        <v>224-0857</v>
      </c>
      <c r="M2861" t="s">
        <v>51</v>
      </c>
    </row>
    <row r="2862" spans="1:13" x14ac:dyDescent="0.35">
      <c r="A2862" t="str">
        <f>"224-8772"</f>
        <v>224-8772</v>
      </c>
      <c r="M2862" t="s">
        <v>51</v>
      </c>
    </row>
    <row r="2863" spans="1:13" x14ac:dyDescent="0.35">
      <c r="A2863" t="str">
        <f>"228-3209"</f>
        <v>228-3209</v>
      </c>
      <c r="M2863" t="s">
        <v>51</v>
      </c>
    </row>
    <row r="2864" spans="1:13" x14ac:dyDescent="0.35">
      <c r="A2864" t="str">
        <f>"620-4443"</f>
        <v>620-4443</v>
      </c>
      <c r="M2864" t="s">
        <v>51</v>
      </c>
    </row>
    <row r="2865" spans="1:13" x14ac:dyDescent="0.35">
      <c r="A2865" t="str">
        <f>"104-9410"</f>
        <v>104-9410</v>
      </c>
      <c r="M2865" t="s">
        <v>51</v>
      </c>
    </row>
    <row r="2866" spans="1:13" x14ac:dyDescent="0.35">
      <c r="A2866" t="str">
        <f>"202-7241"</f>
        <v>202-7241</v>
      </c>
      <c r="M2866" t="s">
        <v>51</v>
      </c>
    </row>
    <row r="2867" spans="1:13" x14ac:dyDescent="0.35">
      <c r="A2867" t="str">
        <f>"188-3208"</f>
        <v>188-3208</v>
      </c>
      <c r="M2867" t="s">
        <v>51</v>
      </c>
    </row>
    <row r="2868" spans="1:13" x14ac:dyDescent="0.35">
      <c r="A2868" t="str">
        <f>"224-0026"</f>
        <v>224-0026</v>
      </c>
      <c r="M2868" t="s">
        <v>51</v>
      </c>
    </row>
    <row r="2869" spans="1:13" x14ac:dyDescent="0.35">
      <c r="A2869" t="str">
        <f>"224-4348"</f>
        <v>224-4348</v>
      </c>
      <c r="M2869" t="s">
        <v>51</v>
      </c>
    </row>
    <row r="2870" spans="1:13" x14ac:dyDescent="0.35">
      <c r="A2870" t="str">
        <f>"621-6539"</f>
        <v>621-6539</v>
      </c>
      <c r="M2870" t="s">
        <v>51</v>
      </c>
    </row>
    <row r="2871" spans="1:13" x14ac:dyDescent="0.35">
      <c r="A2871" t="str">
        <f>"213-7135"</f>
        <v>213-7135</v>
      </c>
      <c r="M2871" t="s">
        <v>51</v>
      </c>
    </row>
    <row r="2872" spans="1:13" x14ac:dyDescent="0.35">
      <c r="A2872" t="str">
        <f>"843-5988"</f>
        <v>843-5988</v>
      </c>
      <c r="M2872" t="s">
        <v>51</v>
      </c>
    </row>
    <row r="2873" spans="1:13" x14ac:dyDescent="0.35">
      <c r="A2873" t="str">
        <f>"208-5976"</f>
        <v>208-5976</v>
      </c>
      <c r="M2873" t="s">
        <v>51</v>
      </c>
    </row>
    <row r="2874" spans="1:13" x14ac:dyDescent="0.35">
      <c r="A2874" t="str">
        <f>"232-8589"</f>
        <v>232-8589</v>
      </c>
      <c r="M2874" t="s">
        <v>51</v>
      </c>
    </row>
    <row r="2875" spans="1:13" x14ac:dyDescent="0.35">
      <c r="A2875" t="str">
        <f>"167-6888"</f>
        <v>167-6888</v>
      </c>
      <c r="M2875" t="s">
        <v>51</v>
      </c>
    </row>
    <row r="2876" spans="1:13" x14ac:dyDescent="0.35">
      <c r="A2876" t="str">
        <f>"233-2140"</f>
        <v>233-2140</v>
      </c>
      <c r="M2876" t="s">
        <v>51</v>
      </c>
    </row>
    <row r="2877" spans="1:13" x14ac:dyDescent="0.35">
      <c r="A2877" t="str">
        <f>"203-2718"</f>
        <v>203-2718</v>
      </c>
      <c r="M2877" t="s">
        <v>51</v>
      </c>
    </row>
    <row r="2878" spans="1:13" x14ac:dyDescent="0.35">
      <c r="A2878" t="str">
        <f>"223-0213"</f>
        <v>223-0213</v>
      </c>
      <c r="M2878" t="s">
        <v>51</v>
      </c>
    </row>
    <row r="2879" spans="1:13" x14ac:dyDescent="0.35">
      <c r="A2879" t="str">
        <f>"217-7597"</f>
        <v>217-7597</v>
      </c>
      <c r="M2879" t="s">
        <v>51</v>
      </c>
    </row>
    <row r="2880" spans="1:13" x14ac:dyDescent="0.35">
      <c r="A2880" t="str">
        <f>"231-4618"</f>
        <v>231-4618</v>
      </c>
      <c r="M2880" t="s">
        <v>51</v>
      </c>
    </row>
    <row r="2881" spans="1:13" x14ac:dyDescent="0.35">
      <c r="A2881" t="str">
        <f>"228-5550"</f>
        <v>228-5550</v>
      </c>
      <c r="M2881" t="s">
        <v>51</v>
      </c>
    </row>
    <row r="2882" spans="1:13" x14ac:dyDescent="0.35">
      <c r="A2882" t="str">
        <f>"082-9961"</f>
        <v>082-9961</v>
      </c>
      <c r="M2882" t="s">
        <v>51</v>
      </c>
    </row>
    <row r="2883" spans="1:13" x14ac:dyDescent="0.35">
      <c r="A2883" t="str">
        <f>"237-1180"</f>
        <v>237-1180</v>
      </c>
      <c r="M2883" t="s">
        <v>51</v>
      </c>
    </row>
    <row r="2884" spans="1:13" x14ac:dyDescent="0.35">
      <c r="A2884" t="str">
        <f>"626-1098"</f>
        <v>626-1098</v>
      </c>
      <c r="M2884" t="s">
        <v>51</v>
      </c>
    </row>
    <row r="2885" spans="1:13" x14ac:dyDescent="0.35">
      <c r="A2885" t="str">
        <f>"237-5603"</f>
        <v>237-5603</v>
      </c>
      <c r="M2885" t="s">
        <v>51</v>
      </c>
    </row>
    <row r="2886" spans="1:13" x14ac:dyDescent="0.35">
      <c r="A2886" t="str">
        <f>"238-2712"</f>
        <v>238-2712</v>
      </c>
      <c r="M2886" t="s">
        <v>51</v>
      </c>
    </row>
    <row r="2887" spans="1:13" x14ac:dyDescent="0.35">
      <c r="A2887" t="str">
        <f>"238-7614"</f>
        <v>238-7614</v>
      </c>
      <c r="M2887" t="s">
        <v>51</v>
      </c>
    </row>
    <row r="2888" spans="1:13" x14ac:dyDescent="0.35">
      <c r="A2888" t="str">
        <f>"166-9499"</f>
        <v>166-9499</v>
      </c>
      <c r="M2888" t="s">
        <v>51</v>
      </c>
    </row>
    <row r="2889" spans="1:13" x14ac:dyDescent="0.35">
      <c r="A2889" t="str">
        <f>"624-7668"</f>
        <v>624-7668</v>
      </c>
      <c r="M2889" t="s">
        <v>51</v>
      </c>
    </row>
    <row r="2890" spans="1:13" x14ac:dyDescent="0.35">
      <c r="A2890" t="str">
        <f>"218-8957"</f>
        <v>218-8957</v>
      </c>
      <c r="M2890" t="s">
        <v>51</v>
      </c>
    </row>
    <row r="2891" spans="1:13" x14ac:dyDescent="0.35">
      <c r="A2891" t="str">
        <f>"623-3488"</f>
        <v>623-3488</v>
      </c>
      <c r="M2891" t="s">
        <v>51</v>
      </c>
    </row>
    <row r="2892" spans="1:13" x14ac:dyDescent="0.35">
      <c r="A2892" t="str">
        <f>"624-6197"</f>
        <v>624-6197</v>
      </c>
      <c r="M2892" t="s">
        <v>51</v>
      </c>
    </row>
    <row r="2893" spans="1:13" x14ac:dyDescent="0.35">
      <c r="A2893" t="str">
        <f>"626-2393"</f>
        <v>626-2393</v>
      </c>
      <c r="M2893" t="s">
        <v>51</v>
      </c>
    </row>
    <row r="2894" spans="1:13" x14ac:dyDescent="0.35">
      <c r="A2894" t="str">
        <f>"197-2005"</f>
        <v>197-2005</v>
      </c>
      <c r="M2894" t="s">
        <v>51</v>
      </c>
    </row>
    <row r="2895" spans="1:13" x14ac:dyDescent="0.35">
      <c r="A2895" t="str">
        <f>"624-1893"</f>
        <v>624-1893</v>
      </c>
      <c r="M2895" t="s">
        <v>51</v>
      </c>
    </row>
    <row r="2896" spans="1:13" x14ac:dyDescent="0.35">
      <c r="A2896" t="str">
        <f>"624-5844"</f>
        <v>624-5844</v>
      </c>
      <c r="M2896" t="s">
        <v>51</v>
      </c>
    </row>
    <row r="2897" spans="1:13" x14ac:dyDescent="0.35">
      <c r="A2897" t="str">
        <f>"217-0512"</f>
        <v>217-0512</v>
      </c>
      <c r="M2897" t="s">
        <v>51</v>
      </c>
    </row>
    <row r="2898" spans="1:13" x14ac:dyDescent="0.35">
      <c r="A2898" t="str">
        <f>"622-4945"</f>
        <v>622-4945</v>
      </c>
      <c r="M2898" t="s">
        <v>51</v>
      </c>
    </row>
    <row r="2899" spans="1:13" x14ac:dyDescent="0.35">
      <c r="A2899" t="str">
        <f>"624-1218"</f>
        <v>624-1218</v>
      </c>
      <c r="M2899" t="s">
        <v>51</v>
      </c>
    </row>
    <row r="2900" spans="1:13" x14ac:dyDescent="0.35">
      <c r="A2900" t="str">
        <f>"208-6452"</f>
        <v>208-6452</v>
      </c>
      <c r="M2900" t="s">
        <v>51</v>
      </c>
    </row>
    <row r="2901" spans="1:13" x14ac:dyDescent="0.35">
      <c r="A2901" t="str">
        <f>"236-1765"</f>
        <v>236-1765</v>
      </c>
      <c r="M2901" t="s">
        <v>51</v>
      </c>
    </row>
    <row r="2902" spans="1:13" x14ac:dyDescent="0.35">
      <c r="A2902" t="str">
        <f>"136-8889"</f>
        <v>136-8889</v>
      </c>
      <c r="M2902" t="s">
        <v>51</v>
      </c>
    </row>
    <row r="2903" spans="1:13" x14ac:dyDescent="0.35">
      <c r="A2903" t="str">
        <f>"622-2805"</f>
        <v>622-2805</v>
      </c>
      <c r="M2903" t="s">
        <v>51</v>
      </c>
    </row>
    <row r="2904" spans="1:13" x14ac:dyDescent="0.35">
      <c r="A2904" t="str">
        <f>"623-3949"</f>
        <v>623-3949</v>
      </c>
      <c r="M2904" t="s">
        <v>51</v>
      </c>
    </row>
    <row r="2905" spans="1:13" x14ac:dyDescent="0.35">
      <c r="A2905" t="str">
        <f>"238-5641"</f>
        <v>238-5641</v>
      </c>
      <c r="M2905" t="s">
        <v>51</v>
      </c>
    </row>
    <row r="2906" spans="1:13" x14ac:dyDescent="0.35">
      <c r="A2906" t="str">
        <f>"237-2559"</f>
        <v>237-2559</v>
      </c>
      <c r="M2906" t="s">
        <v>51</v>
      </c>
    </row>
    <row r="2907" spans="1:13" x14ac:dyDescent="0.35">
      <c r="A2907" t="str">
        <f>"237-7305"</f>
        <v>237-7305</v>
      </c>
      <c r="M2907" t="s">
        <v>51</v>
      </c>
    </row>
    <row r="2908" spans="1:13" x14ac:dyDescent="0.35">
      <c r="A2908" t="str">
        <f>"624-3329"</f>
        <v>624-3329</v>
      </c>
      <c r="M2908" t="s">
        <v>51</v>
      </c>
    </row>
    <row r="2909" spans="1:13" x14ac:dyDescent="0.35">
      <c r="A2909" t="str">
        <f>"238-8799"</f>
        <v>238-8799</v>
      </c>
      <c r="M2909" t="s">
        <v>51</v>
      </c>
    </row>
    <row r="2910" spans="1:13" x14ac:dyDescent="0.35">
      <c r="A2910" t="str">
        <f>"239-1621"</f>
        <v>239-1621</v>
      </c>
      <c r="M2910" t="s">
        <v>51</v>
      </c>
    </row>
    <row r="2911" spans="1:13" x14ac:dyDescent="0.35">
      <c r="A2911" t="str">
        <f>"618-3598"</f>
        <v>618-3598</v>
      </c>
      <c r="M2911" t="s">
        <v>51</v>
      </c>
    </row>
    <row r="2912" spans="1:13" x14ac:dyDescent="0.35">
      <c r="A2912" t="str">
        <f>"623-8744"</f>
        <v>623-8744</v>
      </c>
      <c r="M2912" t="s">
        <v>51</v>
      </c>
    </row>
    <row r="2913" spans="1:13" x14ac:dyDescent="0.35">
      <c r="A2913" t="str">
        <f>"166-2871"</f>
        <v>166-2871</v>
      </c>
      <c r="M2913" t="s">
        <v>51</v>
      </c>
    </row>
    <row r="2914" spans="1:13" x14ac:dyDescent="0.35">
      <c r="A2914" t="str">
        <f>"186-0562"</f>
        <v>186-0562</v>
      </c>
      <c r="M2914" t="s">
        <v>51</v>
      </c>
    </row>
    <row r="2915" spans="1:13" x14ac:dyDescent="0.35">
      <c r="A2915" t="str">
        <f>"623-8684"</f>
        <v>623-8684</v>
      </c>
      <c r="M2915" t="s">
        <v>51</v>
      </c>
    </row>
    <row r="2916" spans="1:13" x14ac:dyDescent="0.35">
      <c r="A2916" t="str">
        <f>"213-0907"</f>
        <v>213-0907</v>
      </c>
      <c r="M2916" t="s">
        <v>51</v>
      </c>
    </row>
    <row r="2917" spans="1:13" x14ac:dyDescent="0.35">
      <c r="A2917" t="str">
        <f>"623-0517"</f>
        <v>623-0517</v>
      </c>
      <c r="M2917" t="s">
        <v>51</v>
      </c>
    </row>
    <row r="2918" spans="1:13" x14ac:dyDescent="0.35">
      <c r="A2918" t="str">
        <f>"625-0151"</f>
        <v>625-0151</v>
      </c>
      <c r="M2918" t="s">
        <v>51</v>
      </c>
    </row>
    <row r="2919" spans="1:13" x14ac:dyDescent="0.35">
      <c r="A2919" t="str">
        <f>"016-0889"</f>
        <v>016-0889</v>
      </c>
      <c r="M2919" t="s">
        <v>51</v>
      </c>
    </row>
    <row r="2920" spans="1:13" x14ac:dyDescent="0.35">
      <c r="A2920" t="str">
        <f>"238-3643"</f>
        <v>238-3643</v>
      </c>
      <c r="M2920" t="s">
        <v>51</v>
      </c>
    </row>
    <row r="2921" spans="1:13" x14ac:dyDescent="0.35">
      <c r="A2921" t="str">
        <f>"238-3434"</f>
        <v>238-3434</v>
      </c>
      <c r="M2921" t="s">
        <v>51</v>
      </c>
    </row>
    <row r="2922" spans="1:13" x14ac:dyDescent="0.35">
      <c r="A2922" t="str">
        <f>"238-9169"</f>
        <v>238-9169</v>
      </c>
      <c r="M2922" t="s">
        <v>51</v>
      </c>
    </row>
    <row r="2923" spans="1:13" x14ac:dyDescent="0.35">
      <c r="A2923" t="str">
        <f>"125-7404"</f>
        <v>125-7404</v>
      </c>
      <c r="M2923" t="s">
        <v>51</v>
      </c>
    </row>
    <row r="2924" spans="1:13" x14ac:dyDescent="0.35">
      <c r="A2924" t="str">
        <f>"048-1396"</f>
        <v>048-1396</v>
      </c>
      <c r="M2924" t="s">
        <v>51</v>
      </c>
    </row>
    <row r="2925" spans="1:13" x14ac:dyDescent="0.35">
      <c r="A2925" t="str">
        <f>"236-4642"</f>
        <v>236-4642</v>
      </c>
      <c r="M2925" t="s">
        <v>51</v>
      </c>
    </row>
    <row r="2926" spans="1:13" x14ac:dyDescent="0.35">
      <c r="A2926" t="str">
        <f>"626-5359"</f>
        <v>626-5359</v>
      </c>
      <c r="M2926" t="s">
        <v>51</v>
      </c>
    </row>
    <row r="2927" spans="1:13" x14ac:dyDescent="0.35">
      <c r="A2927" t="str">
        <f>"624-2568"</f>
        <v>624-2568</v>
      </c>
      <c r="M2927" t="s">
        <v>51</v>
      </c>
    </row>
    <row r="2928" spans="1:13" x14ac:dyDescent="0.35">
      <c r="A2928" t="str">
        <f>"216-9465"</f>
        <v>216-9465</v>
      </c>
      <c r="M2928" t="s">
        <v>51</v>
      </c>
    </row>
    <row r="2929" spans="1:13" x14ac:dyDescent="0.35">
      <c r="A2929" t="str">
        <f>"236-1883"</f>
        <v>236-1883</v>
      </c>
      <c r="M2929" t="s">
        <v>51</v>
      </c>
    </row>
    <row r="2930" spans="1:13" x14ac:dyDescent="0.35">
      <c r="A2930" t="str">
        <f>"228-1703"</f>
        <v>228-1703</v>
      </c>
      <c r="M2930" t="s">
        <v>51</v>
      </c>
    </row>
    <row r="2931" spans="1:13" x14ac:dyDescent="0.35">
      <c r="A2931" t="str">
        <f>"231-9553"</f>
        <v>231-9553</v>
      </c>
      <c r="M2931" t="s">
        <v>51</v>
      </c>
    </row>
    <row r="2932" spans="1:13" x14ac:dyDescent="0.35">
      <c r="A2932" t="str">
        <f>"235-4738"</f>
        <v>235-4738</v>
      </c>
      <c r="M2932" t="s">
        <v>51</v>
      </c>
    </row>
    <row r="2933" spans="1:13" x14ac:dyDescent="0.35">
      <c r="A2933" t="str">
        <f>"238-2724"</f>
        <v>238-2724</v>
      </c>
      <c r="M2933" t="s">
        <v>51</v>
      </c>
    </row>
    <row r="2934" spans="1:13" x14ac:dyDescent="0.35">
      <c r="A2934" t="str">
        <f>"192-3154"</f>
        <v>192-3154</v>
      </c>
      <c r="M2934" t="s">
        <v>51</v>
      </c>
    </row>
    <row r="2935" spans="1:13" x14ac:dyDescent="0.35">
      <c r="A2935" t="str">
        <f>"228-9356"</f>
        <v>228-9356</v>
      </c>
      <c r="M2935" t="s">
        <v>51</v>
      </c>
    </row>
    <row r="2936" spans="1:13" x14ac:dyDescent="0.35">
      <c r="A2936" t="str">
        <f>"229-0721"</f>
        <v>229-0721</v>
      </c>
      <c r="M2936" t="s">
        <v>51</v>
      </c>
    </row>
    <row r="2937" spans="1:13" x14ac:dyDescent="0.35">
      <c r="A2937" t="str">
        <f>"622-8606"</f>
        <v>622-8606</v>
      </c>
      <c r="M2937" t="s">
        <v>51</v>
      </c>
    </row>
    <row r="2938" spans="1:13" x14ac:dyDescent="0.35">
      <c r="A2938" t="str">
        <f>"221-9623"</f>
        <v>221-9623</v>
      </c>
      <c r="M2938" t="s">
        <v>51</v>
      </c>
    </row>
    <row r="2939" spans="1:13" x14ac:dyDescent="0.35">
      <c r="A2939" t="str">
        <f>"627-7289"</f>
        <v>627-7289</v>
      </c>
      <c r="M2939" t="s">
        <v>51</v>
      </c>
    </row>
    <row r="2940" spans="1:13" x14ac:dyDescent="0.35">
      <c r="A2940" t="str">
        <f>"186-3689"</f>
        <v>186-3689</v>
      </c>
      <c r="M2940" t="s">
        <v>51</v>
      </c>
    </row>
    <row r="2941" spans="1:13" x14ac:dyDescent="0.35">
      <c r="A2941" t="str">
        <f>"236-1899"</f>
        <v>236-1899</v>
      </c>
      <c r="M2941" t="s">
        <v>51</v>
      </c>
    </row>
    <row r="2942" spans="1:13" x14ac:dyDescent="0.35">
      <c r="A2942" t="str">
        <f>"226-7010"</f>
        <v>226-7010</v>
      </c>
      <c r="M2942" t="s">
        <v>51</v>
      </c>
    </row>
    <row r="2943" spans="1:13" x14ac:dyDescent="0.35">
      <c r="A2943" t="str">
        <f>"625-3910"</f>
        <v>625-3910</v>
      </c>
      <c r="M2943" t="s">
        <v>51</v>
      </c>
    </row>
    <row r="2944" spans="1:13" x14ac:dyDescent="0.35">
      <c r="A2944" t="str">
        <f>"172-2057"</f>
        <v>172-2057</v>
      </c>
      <c r="M2944" t="s">
        <v>51</v>
      </c>
    </row>
    <row r="2945" spans="1:13" x14ac:dyDescent="0.35">
      <c r="A2945" t="str">
        <f>"191-2609"</f>
        <v>191-2609</v>
      </c>
      <c r="M2945" t="s">
        <v>51</v>
      </c>
    </row>
    <row r="2946" spans="1:13" x14ac:dyDescent="0.35">
      <c r="A2946" t="str">
        <f>"196-4539"</f>
        <v>196-4539</v>
      </c>
      <c r="M2946" t="s">
        <v>51</v>
      </c>
    </row>
    <row r="2947" spans="1:13" x14ac:dyDescent="0.35">
      <c r="A2947" t="str">
        <f>"218-8196"</f>
        <v>218-8196</v>
      </c>
      <c r="M2947" t="s">
        <v>51</v>
      </c>
    </row>
    <row r="2948" spans="1:13" x14ac:dyDescent="0.35">
      <c r="A2948" t="str">
        <f>"239-9093"</f>
        <v>239-9093</v>
      </c>
      <c r="M2948" t="s">
        <v>51</v>
      </c>
    </row>
    <row r="2949" spans="1:13" x14ac:dyDescent="0.35">
      <c r="A2949" t="str">
        <f>"627-4759"</f>
        <v>627-4759</v>
      </c>
      <c r="M2949" t="s">
        <v>51</v>
      </c>
    </row>
    <row r="2950" spans="1:13" x14ac:dyDescent="0.35">
      <c r="A2950" t="str">
        <f>"628-5516"</f>
        <v>628-5516</v>
      </c>
      <c r="M2950" t="s">
        <v>51</v>
      </c>
    </row>
    <row r="2951" spans="1:13" x14ac:dyDescent="0.35">
      <c r="A2951" t="str">
        <f>"249-9006"</f>
        <v>249-9006</v>
      </c>
      <c r="M2951" t="s">
        <v>51</v>
      </c>
    </row>
    <row r="2952" spans="1:13" x14ac:dyDescent="0.35">
      <c r="A2952" t="str">
        <f>"249-9012"</f>
        <v>249-9012</v>
      </c>
      <c r="M2952" t="s">
        <v>51</v>
      </c>
    </row>
    <row r="2953" spans="1:13" x14ac:dyDescent="0.35">
      <c r="A2953" t="str">
        <f>"226-6147"</f>
        <v>226-6147</v>
      </c>
      <c r="M2953" t="s">
        <v>51</v>
      </c>
    </row>
    <row r="2954" spans="1:13" x14ac:dyDescent="0.35">
      <c r="A2954" t="str">
        <f>"238-2860"</f>
        <v>238-2860</v>
      </c>
      <c r="M2954" t="s">
        <v>51</v>
      </c>
    </row>
    <row r="2955" spans="1:13" x14ac:dyDescent="0.35">
      <c r="A2955" t="str">
        <f>"227-6221"</f>
        <v>227-6221</v>
      </c>
      <c r="M2955" t="s">
        <v>51</v>
      </c>
    </row>
    <row r="2956" spans="1:13" x14ac:dyDescent="0.35">
      <c r="A2956" t="str">
        <f>"157-5558"</f>
        <v>157-5558</v>
      </c>
      <c r="M2956" t="s">
        <v>51</v>
      </c>
    </row>
    <row r="2957" spans="1:13" x14ac:dyDescent="0.35">
      <c r="A2957" t="str">
        <f>"197-6319"</f>
        <v>197-6319</v>
      </c>
      <c r="M2957" t="s">
        <v>51</v>
      </c>
    </row>
    <row r="2958" spans="1:13" x14ac:dyDescent="0.35">
      <c r="A2958" t="str">
        <f>"225-1806"</f>
        <v>225-1806</v>
      </c>
      <c r="M2958" t="s">
        <v>51</v>
      </c>
    </row>
    <row r="2959" spans="1:13" x14ac:dyDescent="0.35">
      <c r="A2959" t="str">
        <f>"242-5905"</f>
        <v>242-5905</v>
      </c>
      <c r="M2959" t="s">
        <v>51</v>
      </c>
    </row>
    <row r="2960" spans="1:13" x14ac:dyDescent="0.35">
      <c r="A2960" t="str">
        <f>"244-2378"</f>
        <v>244-2378</v>
      </c>
      <c r="M2960" t="s">
        <v>51</v>
      </c>
    </row>
    <row r="2961" spans="1:13" x14ac:dyDescent="0.35">
      <c r="A2961" t="str">
        <f>"244-1862"</f>
        <v>244-1862</v>
      </c>
      <c r="M2961" t="s">
        <v>51</v>
      </c>
    </row>
    <row r="2962" spans="1:13" x14ac:dyDescent="0.35">
      <c r="A2962" t="str">
        <f>"214-5314"</f>
        <v>214-5314</v>
      </c>
      <c r="M2962" t="s">
        <v>51</v>
      </c>
    </row>
    <row r="2963" spans="1:13" x14ac:dyDescent="0.35">
      <c r="A2963" t="str">
        <f>"244-4687"</f>
        <v>244-4687</v>
      </c>
      <c r="M2963" t="s">
        <v>51</v>
      </c>
    </row>
    <row r="2964" spans="1:13" x14ac:dyDescent="0.35">
      <c r="A2964" t="str">
        <f>"203-9947"</f>
        <v>203-9947</v>
      </c>
      <c r="M2964" t="s">
        <v>51</v>
      </c>
    </row>
    <row r="2965" spans="1:13" x14ac:dyDescent="0.35">
      <c r="A2965" t="str">
        <f>"243-9473"</f>
        <v>243-9473</v>
      </c>
      <c r="M2965" t="s">
        <v>51</v>
      </c>
    </row>
    <row r="2966" spans="1:13" x14ac:dyDescent="0.35">
      <c r="A2966" t="str">
        <f>"623-2368"</f>
        <v>623-2368</v>
      </c>
      <c r="M2966" t="s">
        <v>51</v>
      </c>
    </row>
    <row r="2967" spans="1:13" x14ac:dyDescent="0.35">
      <c r="A2967" t="str">
        <f>"624-8387"</f>
        <v>624-8387</v>
      </c>
      <c r="M2967" t="s">
        <v>51</v>
      </c>
    </row>
    <row r="2968" spans="1:13" x14ac:dyDescent="0.35">
      <c r="A2968" t="str">
        <f>"624-8594"</f>
        <v>624-8594</v>
      </c>
      <c r="M2968" t="s">
        <v>51</v>
      </c>
    </row>
    <row r="2969" spans="1:13" x14ac:dyDescent="0.35">
      <c r="A2969" t="str">
        <f>"628-0263"</f>
        <v>628-0263</v>
      </c>
      <c r="M2969" t="s">
        <v>51</v>
      </c>
    </row>
    <row r="2970" spans="1:13" x14ac:dyDescent="0.35">
      <c r="A2970" t="str">
        <f>"144-9971"</f>
        <v>144-9971</v>
      </c>
      <c r="M2970" t="s">
        <v>51</v>
      </c>
    </row>
    <row r="2971" spans="1:13" x14ac:dyDescent="0.35">
      <c r="A2971" t="str">
        <f>"215-6192"</f>
        <v>215-6192</v>
      </c>
      <c r="M2971" t="s">
        <v>51</v>
      </c>
    </row>
    <row r="2972" spans="1:13" x14ac:dyDescent="0.35">
      <c r="A2972" t="str">
        <f>"243-0266"</f>
        <v>243-0266</v>
      </c>
      <c r="M2972" t="s">
        <v>51</v>
      </c>
    </row>
    <row r="2973" spans="1:13" x14ac:dyDescent="0.35">
      <c r="A2973" t="str">
        <f>"625-0891"</f>
        <v>625-0891</v>
      </c>
      <c r="M2973" t="s">
        <v>51</v>
      </c>
    </row>
    <row r="2974" spans="1:13" x14ac:dyDescent="0.35">
      <c r="A2974" t="str">
        <f>"226-9369"</f>
        <v>226-9369</v>
      </c>
      <c r="M2974" t="s">
        <v>51</v>
      </c>
    </row>
    <row r="2975" spans="1:13" x14ac:dyDescent="0.35">
      <c r="A2975" t="str">
        <f>"215-2141"</f>
        <v>215-2141</v>
      </c>
      <c r="M2975" t="s">
        <v>51</v>
      </c>
    </row>
    <row r="2976" spans="1:13" x14ac:dyDescent="0.35">
      <c r="A2976" t="str">
        <f>"225-9945"</f>
        <v>225-9945</v>
      </c>
      <c r="M2976" t="s">
        <v>51</v>
      </c>
    </row>
    <row r="2977" spans="1:13" x14ac:dyDescent="0.35">
      <c r="A2977" t="str">
        <f>"621-8502"</f>
        <v>621-8502</v>
      </c>
      <c r="M2977" t="s">
        <v>51</v>
      </c>
    </row>
    <row r="2978" spans="1:13" x14ac:dyDescent="0.35">
      <c r="A2978" t="str">
        <f>"245-9313"</f>
        <v>245-9313</v>
      </c>
      <c r="M2978" t="s">
        <v>51</v>
      </c>
    </row>
    <row r="2979" spans="1:13" x14ac:dyDescent="0.35">
      <c r="A2979" t="str">
        <f>"246-8250"</f>
        <v>246-8250</v>
      </c>
      <c r="M2979" t="s">
        <v>51</v>
      </c>
    </row>
    <row r="2980" spans="1:13" x14ac:dyDescent="0.35">
      <c r="A2980" t="str">
        <f>"025-4406"</f>
        <v>025-4406</v>
      </c>
      <c r="M2980" t="s">
        <v>51</v>
      </c>
    </row>
    <row r="2981" spans="1:13" x14ac:dyDescent="0.35">
      <c r="A2981" t="str">
        <f>"247-0549"</f>
        <v>247-0549</v>
      </c>
      <c r="M2981" t="s">
        <v>51</v>
      </c>
    </row>
    <row r="2982" spans="1:13" x14ac:dyDescent="0.35">
      <c r="A2982" t="str">
        <f>"247-9842"</f>
        <v>247-9842</v>
      </c>
      <c r="M2982" t="s">
        <v>51</v>
      </c>
    </row>
    <row r="2983" spans="1:13" x14ac:dyDescent="0.35">
      <c r="A2983" t="str">
        <f>"619-1436"</f>
        <v>619-1436</v>
      </c>
      <c r="M2983" t="s">
        <v>51</v>
      </c>
    </row>
    <row r="2984" spans="1:13" x14ac:dyDescent="0.35">
      <c r="A2984" t="str">
        <f>"246-2827"</f>
        <v>246-2827</v>
      </c>
      <c r="M2984" t="s">
        <v>51</v>
      </c>
    </row>
    <row r="2985" spans="1:13" x14ac:dyDescent="0.35">
      <c r="A2985" t="str">
        <f>"629-6012"</f>
        <v>629-6012</v>
      </c>
      <c r="M2985" t="s">
        <v>51</v>
      </c>
    </row>
    <row r="2986" spans="1:13" x14ac:dyDescent="0.35">
      <c r="A2986" t="str">
        <f>"067-0746"</f>
        <v>067-0746</v>
      </c>
      <c r="M2986" t="s">
        <v>51</v>
      </c>
    </row>
    <row r="2987" spans="1:13" x14ac:dyDescent="0.35">
      <c r="A2987" t="str">
        <f>"629-9842"</f>
        <v>629-9842</v>
      </c>
      <c r="M2987" t="s">
        <v>51</v>
      </c>
    </row>
    <row r="2988" spans="1:13" x14ac:dyDescent="0.35">
      <c r="A2988" t="str">
        <f>"249-9056"</f>
        <v>249-9056</v>
      </c>
      <c r="M2988" t="s">
        <v>51</v>
      </c>
    </row>
    <row r="2989" spans="1:13" x14ac:dyDescent="0.35">
      <c r="A2989" t="str">
        <f>"249-9061"</f>
        <v>249-9061</v>
      </c>
      <c r="M2989" t="s">
        <v>51</v>
      </c>
    </row>
    <row r="2990" spans="1:13" x14ac:dyDescent="0.35">
      <c r="A2990" t="str">
        <f>"249-9064"</f>
        <v>249-9064</v>
      </c>
      <c r="M2990" t="s">
        <v>51</v>
      </c>
    </row>
    <row r="2991" spans="1:13" x14ac:dyDescent="0.35">
      <c r="A2991" t="str">
        <f>"629-9744"</f>
        <v>629-9744</v>
      </c>
      <c r="M2991" t="s">
        <v>51</v>
      </c>
    </row>
    <row r="2992" spans="1:13" x14ac:dyDescent="0.35">
      <c r="A2992" t="str">
        <f>"249-9068"</f>
        <v>249-9068</v>
      </c>
      <c r="M2992" t="s">
        <v>51</v>
      </c>
    </row>
    <row r="2993" spans="1:13" x14ac:dyDescent="0.35">
      <c r="A2993" t="str">
        <f>"249-9070"</f>
        <v>249-9070</v>
      </c>
      <c r="M2993" t="s">
        <v>51</v>
      </c>
    </row>
    <row r="2994" spans="1:13" x14ac:dyDescent="0.35">
      <c r="A2994" t="str">
        <f>"628-9204"</f>
        <v>628-9204</v>
      </c>
      <c r="M2994" t="s">
        <v>51</v>
      </c>
    </row>
    <row r="2995" spans="1:13" x14ac:dyDescent="0.35">
      <c r="A2995" t="str">
        <f>"622-4015"</f>
        <v>622-4015</v>
      </c>
      <c r="M2995" t="s">
        <v>51</v>
      </c>
    </row>
    <row r="2996" spans="1:13" x14ac:dyDescent="0.35">
      <c r="A2996" t="str">
        <f>"630-8654"</f>
        <v>630-8654</v>
      </c>
      <c r="M2996" t="s">
        <v>51</v>
      </c>
    </row>
    <row r="2997" spans="1:13" x14ac:dyDescent="0.35">
      <c r="A2997" t="str">
        <f>"632-1671"</f>
        <v>632-1671</v>
      </c>
      <c r="M2997" t="s">
        <v>51</v>
      </c>
    </row>
    <row r="2998" spans="1:13" x14ac:dyDescent="0.35">
      <c r="A2998" t="str">
        <f>"237-7464"</f>
        <v>237-7464</v>
      </c>
      <c r="M2998" t="s">
        <v>51</v>
      </c>
    </row>
    <row r="2999" spans="1:13" x14ac:dyDescent="0.35">
      <c r="A2999" t="str">
        <f>"237-9638"</f>
        <v>237-9638</v>
      </c>
      <c r="M2999" t="s">
        <v>51</v>
      </c>
    </row>
    <row r="3000" spans="1:13" x14ac:dyDescent="0.35">
      <c r="A3000" t="str">
        <f>"246-9426"</f>
        <v>246-9426</v>
      </c>
      <c r="M3000" t="s">
        <v>51</v>
      </c>
    </row>
    <row r="3001" spans="1:13" x14ac:dyDescent="0.35">
      <c r="A3001" t="str">
        <f>"630-4796"</f>
        <v>630-4796</v>
      </c>
      <c r="M3001" t="s">
        <v>51</v>
      </c>
    </row>
    <row r="3002" spans="1:13" x14ac:dyDescent="0.35">
      <c r="A3002" t="str">
        <f>"162-9581"</f>
        <v>162-9581</v>
      </c>
      <c r="M3002" t="s">
        <v>51</v>
      </c>
    </row>
    <row r="3003" spans="1:13" x14ac:dyDescent="0.35">
      <c r="A3003" t="str">
        <f>"633-2881"</f>
        <v>633-2881</v>
      </c>
      <c r="M3003" t="s">
        <v>51</v>
      </c>
    </row>
    <row r="3004" spans="1:13" x14ac:dyDescent="0.35">
      <c r="A3004" t="str">
        <f>"631-4349"</f>
        <v>631-4349</v>
      </c>
      <c r="M3004" t="s">
        <v>51</v>
      </c>
    </row>
    <row r="3005" spans="1:13" x14ac:dyDescent="0.35">
      <c r="A3005" t="str">
        <f>"023-2838"</f>
        <v>023-2838</v>
      </c>
      <c r="M3005" t="s">
        <v>51</v>
      </c>
    </row>
    <row r="3006" spans="1:13" x14ac:dyDescent="0.35">
      <c r="A3006" t="str">
        <f>"196-6720"</f>
        <v>196-6720</v>
      </c>
      <c r="M3006" t="s">
        <v>51</v>
      </c>
    </row>
    <row r="3007" spans="1:13" x14ac:dyDescent="0.35">
      <c r="A3007" t="str">
        <f>"208-3610"</f>
        <v>208-3610</v>
      </c>
      <c r="M3007" t="s">
        <v>51</v>
      </c>
    </row>
    <row r="3008" spans="1:13" x14ac:dyDescent="0.35">
      <c r="A3008" t="str">
        <f>"247-5759"</f>
        <v>247-5759</v>
      </c>
      <c r="M3008" t="s">
        <v>51</v>
      </c>
    </row>
    <row r="3009" spans="1:13" x14ac:dyDescent="0.35">
      <c r="A3009" t="str">
        <f>"631-3397"</f>
        <v>631-3397</v>
      </c>
      <c r="M3009" t="s">
        <v>51</v>
      </c>
    </row>
    <row r="3010" spans="1:13" x14ac:dyDescent="0.35">
      <c r="A3010" t="str">
        <f>"228-4467"</f>
        <v>228-4467</v>
      </c>
      <c r="M3010" t="s">
        <v>51</v>
      </c>
    </row>
    <row r="3011" spans="1:13" x14ac:dyDescent="0.35">
      <c r="A3011" t="str">
        <f>"244-2651"</f>
        <v>244-2651</v>
      </c>
      <c r="M3011" t="s">
        <v>51</v>
      </c>
    </row>
    <row r="3012" spans="1:13" x14ac:dyDescent="0.35">
      <c r="A3012" t="str">
        <f>"631-2504"</f>
        <v>631-2504</v>
      </c>
      <c r="M3012" t="s">
        <v>51</v>
      </c>
    </row>
    <row r="3013" spans="1:13" x14ac:dyDescent="0.35">
      <c r="A3013" t="str">
        <f>"204-5364"</f>
        <v>204-5364</v>
      </c>
      <c r="M3013" t="s">
        <v>51</v>
      </c>
    </row>
    <row r="3014" spans="1:13" x14ac:dyDescent="0.35">
      <c r="A3014" t="str">
        <f>"247-2695"</f>
        <v>247-2695</v>
      </c>
      <c r="M3014" t="s">
        <v>51</v>
      </c>
    </row>
    <row r="3015" spans="1:13" x14ac:dyDescent="0.35">
      <c r="A3015" t="str">
        <f>"247-7022"</f>
        <v>247-7022</v>
      </c>
      <c r="M3015" t="s">
        <v>51</v>
      </c>
    </row>
    <row r="3016" spans="1:13" x14ac:dyDescent="0.35">
      <c r="A3016" t="str">
        <f>"248-2580"</f>
        <v>248-2580</v>
      </c>
      <c r="M3016" t="s">
        <v>51</v>
      </c>
    </row>
    <row r="3017" spans="1:13" x14ac:dyDescent="0.35">
      <c r="A3017" t="str">
        <f>"249-2487"</f>
        <v>249-2487</v>
      </c>
      <c r="M3017" t="s">
        <v>51</v>
      </c>
    </row>
    <row r="3018" spans="1:13" x14ac:dyDescent="0.35">
      <c r="A3018" t="str">
        <f>"632-2064"</f>
        <v>632-2064</v>
      </c>
      <c r="M3018" t="s">
        <v>51</v>
      </c>
    </row>
    <row r="3019" spans="1:13" x14ac:dyDescent="0.35">
      <c r="A3019" t="str">
        <f>"633-0120"</f>
        <v>633-0120</v>
      </c>
      <c r="M3019" t="s">
        <v>51</v>
      </c>
    </row>
    <row r="3020" spans="1:13" x14ac:dyDescent="0.35">
      <c r="A3020" t="str">
        <f>"633-2274"</f>
        <v>633-2274</v>
      </c>
      <c r="M3020" t="s">
        <v>51</v>
      </c>
    </row>
    <row r="3021" spans="1:13" x14ac:dyDescent="0.35">
      <c r="A3021" t="str">
        <f>"633-1659"</f>
        <v>633-1659</v>
      </c>
      <c r="M3021" t="s">
        <v>51</v>
      </c>
    </row>
    <row r="3022" spans="1:13" x14ac:dyDescent="0.35">
      <c r="A3022" t="str">
        <f>"629-0599"</f>
        <v>629-0599</v>
      </c>
      <c r="M3022" t="s">
        <v>51</v>
      </c>
    </row>
    <row r="3023" spans="1:13" x14ac:dyDescent="0.35">
      <c r="A3023" t="str">
        <f>"629-2602"</f>
        <v>629-2602</v>
      </c>
      <c r="M3023" t="s">
        <v>51</v>
      </c>
    </row>
    <row r="3024" spans="1:13" x14ac:dyDescent="0.35">
      <c r="A3024" t="str">
        <f>"629-4239"</f>
        <v>629-4239</v>
      </c>
      <c r="M3024" t="s">
        <v>51</v>
      </c>
    </row>
    <row r="3025" spans="1:13" x14ac:dyDescent="0.35">
      <c r="A3025" t="str">
        <f>"628-9759"</f>
        <v>628-9759</v>
      </c>
      <c r="M3025" t="s">
        <v>51</v>
      </c>
    </row>
    <row r="3026" spans="1:13" x14ac:dyDescent="0.35">
      <c r="A3026" t="str">
        <f>"628-9367"</f>
        <v>628-9367</v>
      </c>
      <c r="M3026" t="s">
        <v>51</v>
      </c>
    </row>
    <row r="3027" spans="1:13" x14ac:dyDescent="0.35">
      <c r="A3027" t="str">
        <f>"630-9328"</f>
        <v>630-9328</v>
      </c>
      <c r="M3027" t="s">
        <v>51</v>
      </c>
    </row>
    <row r="3028" spans="1:13" x14ac:dyDescent="0.35">
      <c r="A3028" t="str">
        <f>"114-4455"</f>
        <v>114-4455</v>
      </c>
      <c r="M3028" t="s">
        <v>51</v>
      </c>
    </row>
    <row r="3029" spans="1:13" x14ac:dyDescent="0.35">
      <c r="A3029" t="str">
        <f>"630-0163"</f>
        <v>630-0163</v>
      </c>
      <c r="M3029" t="s">
        <v>51</v>
      </c>
    </row>
    <row r="3030" spans="1:13" x14ac:dyDescent="0.35">
      <c r="A3030" t="str">
        <f>"630-4873"</f>
        <v>630-4873</v>
      </c>
      <c r="M3030" t="s">
        <v>51</v>
      </c>
    </row>
    <row r="3031" spans="1:13" x14ac:dyDescent="0.35">
      <c r="A3031" t="str">
        <f>"218-7514"</f>
        <v>218-7514</v>
      </c>
      <c r="M3031" t="s">
        <v>51</v>
      </c>
    </row>
    <row r="3032" spans="1:13" x14ac:dyDescent="0.35">
      <c r="A3032" t="str">
        <f>"237-8163"</f>
        <v>237-8163</v>
      </c>
      <c r="M3032" t="s">
        <v>51</v>
      </c>
    </row>
    <row r="3033" spans="1:13" x14ac:dyDescent="0.35">
      <c r="A3033" t="str">
        <f>"631-6149"</f>
        <v>631-6149</v>
      </c>
      <c r="M3033" t="s">
        <v>51</v>
      </c>
    </row>
    <row r="3034" spans="1:13" x14ac:dyDescent="0.35">
      <c r="A3034" t="str">
        <f>"126-4567"</f>
        <v>126-4567</v>
      </c>
      <c r="M3034" t="s">
        <v>51</v>
      </c>
    </row>
    <row r="3035" spans="1:13" x14ac:dyDescent="0.35">
      <c r="A3035" t="str">
        <f>"221-6089"</f>
        <v>221-6089</v>
      </c>
      <c r="M3035" t="s">
        <v>51</v>
      </c>
    </row>
    <row r="3036" spans="1:13" x14ac:dyDescent="0.35">
      <c r="A3036" t="str">
        <f>"247-7838"</f>
        <v>247-7838</v>
      </c>
      <c r="M3036" t="s">
        <v>51</v>
      </c>
    </row>
    <row r="3037" spans="1:13" x14ac:dyDescent="0.35">
      <c r="A3037" t="str">
        <f>"627-2242"</f>
        <v>627-2242</v>
      </c>
      <c r="M3037" t="s">
        <v>51</v>
      </c>
    </row>
    <row r="3038" spans="1:13" x14ac:dyDescent="0.35">
      <c r="A3038" t="str">
        <f>"631-4692"</f>
        <v>631-4692</v>
      </c>
      <c r="M3038" t="s">
        <v>51</v>
      </c>
    </row>
    <row r="3039" spans="1:13" x14ac:dyDescent="0.35">
      <c r="A3039" t="str">
        <f>"235-7302"</f>
        <v>235-7302</v>
      </c>
      <c r="M3039" t="s">
        <v>51</v>
      </c>
    </row>
    <row r="3040" spans="1:13" x14ac:dyDescent="0.35">
      <c r="A3040" t="str">
        <f>"236-1844"</f>
        <v>236-1844</v>
      </c>
      <c r="M3040" t="s">
        <v>51</v>
      </c>
    </row>
    <row r="3041" spans="1:13" x14ac:dyDescent="0.35">
      <c r="A3041" t="str">
        <f>"244-6964"</f>
        <v>244-6964</v>
      </c>
      <c r="M3041" t="s">
        <v>51</v>
      </c>
    </row>
    <row r="3042" spans="1:13" x14ac:dyDescent="0.35">
      <c r="A3042" t="str">
        <f>"247-5881"</f>
        <v>247-5881</v>
      </c>
      <c r="M3042" t="s">
        <v>51</v>
      </c>
    </row>
    <row r="3043" spans="1:13" x14ac:dyDescent="0.35">
      <c r="A3043" t="str">
        <f>"630-2895"</f>
        <v>630-2895</v>
      </c>
      <c r="M3043" t="s">
        <v>51</v>
      </c>
    </row>
    <row r="3044" spans="1:13" x14ac:dyDescent="0.35">
      <c r="A3044" t="str">
        <f>"630-9044"</f>
        <v>630-9044</v>
      </c>
      <c r="M3044" t="s">
        <v>51</v>
      </c>
    </row>
    <row r="3045" spans="1:13" x14ac:dyDescent="0.35">
      <c r="A3045" t="str">
        <f>"631-2425"</f>
        <v>631-2425</v>
      </c>
      <c r="M3045" t="s">
        <v>51</v>
      </c>
    </row>
    <row r="3046" spans="1:13" x14ac:dyDescent="0.35">
      <c r="A3046" t="str">
        <f>"633-2629"</f>
        <v>633-2629</v>
      </c>
      <c r="M3046" t="s">
        <v>51</v>
      </c>
    </row>
    <row r="3047" spans="1:13" x14ac:dyDescent="0.35">
      <c r="A3047" t="str">
        <f>"634-1784"</f>
        <v>634-1784</v>
      </c>
      <c r="M3047" t="s">
        <v>51</v>
      </c>
    </row>
    <row r="3048" spans="1:13" x14ac:dyDescent="0.35">
      <c r="A3048" t="str">
        <f>"248-6859"</f>
        <v>248-6859</v>
      </c>
      <c r="M3048" t="s">
        <v>51</v>
      </c>
    </row>
    <row r="3049" spans="1:13" x14ac:dyDescent="0.35">
      <c r="A3049" t="str">
        <f>"629-7521"</f>
        <v>629-7521</v>
      </c>
      <c r="M3049" t="s">
        <v>51</v>
      </c>
    </row>
    <row r="3050" spans="1:13" x14ac:dyDescent="0.35">
      <c r="A3050" t="str">
        <f>"154-9694"</f>
        <v>154-9694</v>
      </c>
      <c r="M3050" t="s">
        <v>51</v>
      </c>
    </row>
    <row r="3051" spans="1:13" x14ac:dyDescent="0.35">
      <c r="A3051" t="str">
        <f>"237-0089"</f>
        <v>237-0089</v>
      </c>
      <c r="M3051" t="s">
        <v>51</v>
      </c>
    </row>
    <row r="3052" spans="1:13" x14ac:dyDescent="0.35">
      <c r="A3052" t="str">
        <f>"625-1662"</f>
        <v>625-1662</v>
      </c>
      <c r="M3052" t="s">
        <v>51</v>
      </c>
    </row>
    <row r="3053" spans="1:13" x14ac:dyDescent="0.35">
      <c r="A3053" t="str">
        <f>"632-7940"</f>
        <v>632-7940</v>
      </c>
      <c r="M3053" t="s">
        <v>51</v>
      </c>
    </row>
    <row r="3054" spans="1:13" x14ac:dyDescent="0.35">
      <c r="A3054" t="str">
        <f>"632-8069"</f>
        <v>632-8069</v>
      </c>
      <c r="M3054" t="s">
        <v>51</v>
      </c>
    </row>
    <row r="3055" spans="1:13" x14ac:dyDescent="0.35">
      <c r="A3055" t="str">
        <f>"633-2899"</f>
        <v>633-2899</v>
      </c>
      <c r="M3055" t="s">
        <v>51</v>
      </c>
    </row>
    <row r="3056" spans="1:13" x14ac:dyDescent="0.35">
      <c r="A3056" t="str">
        <f>"619-5318"</f>
        <v>619-5318</v>
      </c>
      <c r="M3056" t="s">
        <v>51</v>
      </c>
    </row>
    <row r="3057" spans="1:13" x14ac:dyDescent="0.35">
      <c r="A3057" t="str">
        <f>"237-5380"</f>
        <v>237-5380</v>
      </c>
      <c r="M3057" t="s">
        <v>51</v>
      </c>
    </row>
    <row r="3058" spans="1:13" x14ac:dyDescent="0.35">
      <c r="A3058" t="str">
        <f>"247-4255"</f>
        <v>247-4255</v>
      </c>
      <c r="M3058" t="s">
        <v>51</v>
      </c>
    </row>
    <row r="3059" spans="1:13" x14ac:dyDescent="0.35">
      <c r="A3059" t="str">
        <f>"631-5095"</f>
        <v>631-5095</v>
      </c>
      <c r="M3059" t="s">
        <v>51</v>
      </c>
    </row>
    <row r="3060" spans="1:13" x14ac:dyDescent="0.35">
      <c r="A3060" t="str">
        <f>"221-0218"</f>
        <v>221-0218</v>
      </c>
      <c r="M3060" t="s">
        <v>51</v>
      </c>
    </row>
    <row r="3061" spans="1:13" x14ac:dyDescent="0.35">
      <c r="A3061" t="str">
        <f>"623-6117"</f>
        <v>623-6117</v>
      </c>
      <c r="M3061" t="s">
        <v>51</v>
      </c>
    </row>
    <row r="3062" spans="1:13" x14ac:dyDescent="0.35">
      <c r="A3062" t="str">
        <f>"156-9471"</f>
        <v>156-9471</v>
      </c>
      <c r="M3062" t="s">
        <v>51</v>
      </c>
    </row>
    <row r="3063" spans="1:13" x14ac:dyDescent="0.35">
      <c r="A3063" t="str">
        <f>"212-0160"</f>
        <v>212-0160</v>
      </c>
      <c r="M3063" t="s">
        <v>51</v>
      </c>
    </row>
    <row r="3064" spans="1:13" x14ac:dyDescent="0.35">
      <c r="A3064" t="str">
        <f>"635-4055"</f>
        <v>635-4055</v>
      </c>
      <c r="M3064" t="s">
        <v>51</v>
      </c>
    </row>
    <row r="3065" spans="1:13" x14ac:dyDescent="0.35">
      <c r="A3065" t="str">
        <f>"950-1439"</f>
        <v>950-1439</v>
      </c>
    </row>
    <row r="3066" spans="1:13" x14ac:dyDescent="0.35">
      <c r="A3066" t="str">
        <f>"985-2104"</f>
        <v>985-2104</v>
      </c>
    </row>
    <row r="3067" spans="1:13" x14ac:dyDescent="0.35">
      <c r="A3067" t="str">
        <f>"013-8306"</f>
        <v>013-8306</v>
      </c>
    </row>
    <row r="3068" spans="1:13" x14ac:dyDescent="0.35">
      <c r="A3068" t="str">
        <f>"051-3124"</f>
        <v>051-3124</v>
      </c>
    </row>
    <row r="3069" spans="1:13" x14ac:dyDescent="0.35">
      <c r="A3069" t="str">
        <f>"082-6802"</f>
        <v>082-6802</v>
      </c>
    </row>
    <row r="3070" spans="1:13" x14ac:dyDescent="0.35">
      <c r="A3070" t="str">
        <f>"095-9806"</f>
        <v>095-9806</v>
      </c>
    </row>
    <row r="3071" spans="1:13" x14ac:dyDescent="0.35">
      <c r="A3071" t="str">
        <f>"112-3642"</f>
        <v>112-3642</v>
      </c>
    </row>
    <row r="3072" spans="1:13" x14ac:dyDescent="0.35">
      <c r="A3072" t="str">
        <f>"129-9115"</f>
        <v>129-9115</v>
      </c>
    </row>
    <row r="3073" spans="1:1" x14ac:dyDescent="0.35">
      <c r="A3073" t="str">
        <f>"114-6548"</f>
        <v>114-6548</v>
      </c>
    </row>
    <row r="3074" spans="1:1" x14ac:dyDescent="0.35">
      <c r="A3074" t="str">
        <f>"149-9015"</f>
        <v>149-9015</v>
      </c>
    </row>
    <row r="3075" spans="1:1" x14ac:dyDescent="0.35">
      <c r="A3075" t="str">
        <f>"151-1216"</f>
        <v>151-1216</v>
      </c>
    </row>
    <row r="3076" spans="1:1" x14ac:dyDescent="0.35">
      <c r="A3076" t="str">
        <f>"186-3984"</f>
        <v>186-3984</v>
      </c>
    </row>
    <row r="3077" spans="1:1" x14ac:dyDescent="0.35">
      <c r="A3077" t="str">
        <f>"977-1386"</f>
        <v>977-1386</v>
      </c>
    </row>
    <row r="3078" spans="1:1" x14ac:dyDescent="0.35">
      <c r="A3078" t="str">
        <f>"186-3056"</f>
        <v>186-3056</v>
      </c>
    </row>
    <row r="3079" spans="1:1" x14ac:dyDescent="0.35">
      <c r="A3079" t="str">
        <f>"189-2074"</f>
        <v>189-2074</v>
      </c>
    </row>
    <row r="3080" spans="1:1" x14ac:dyDescent="0.35">
      <c r="A3080" t="str">
        <f>"184-1396"</f>
        <v>184-1396</v>
      </c>
    </row>
    <row r="3081" spans="1:1" x14ac:dyDescent="0.35">
      <c r="A3081" t="str">
        <f>"187-7570"</f>
        <v>187-7570</v>
      </c>
    </row>
    <row r="3082" spans="1:1" x14ac:dyDescent="0.35">
      <c r="A3082" t="str">
        <f>"190-4208"</f>
        <v>190-4208</v>
      </c>
    </row>
    <row r="3083" spans="1:1" x14ac:dyDescent="0.35">
      <c r="A3083" t="str">
        <f>"189-9381"</f>
        <v>189-9381</v>
      </c>
    </row>
    <row r="3084" spans="1:1" x14ac:dyDescent="0.35">
      <c r="A3084" t="str">
        <f>"185-8629"</f>
        <v>185-8629</v>
      </c>
    </row>
    <row r="3085" spans="1:1" x14ac:dyDescent="0.35">
      <c r="A3085" t="str">
        <f>"208-9658"</f>
        <v>208-9658</v>
      </c>
    </row>
    <row r="3086" spans="1:1" x14ac:dyDescent="0.35">
      <c r="A3086" t="str">
        <f>"196-8840"</f>
        <v>196-8840</v>
      </c>
    </row>
    <row r="3087" spans="1:1" x14ac:dyDescent="0.35">
      <c r="A3087" t="str">
        <f>"219-9017"</f>
        <v>219-9017</v>
      </c>
    </row>
    <row r="3088" spans="1:1" x14ac:dyDescent="0.35">
      <c r="A3088" t="str">
        <f>"215-5137"</f>
        <v>215-5137</v>
      </c>
    </row>
    <row r="3089" spans="1:1" x14ac:dyDescent="0.35">
      <c r="A3089" t="str">
        <f>"216-4380"</f>
        <v>216-4380</v>
      </c>
    </row>
    <row r="3090" spans="1:1" x14ac:dyDescent="0.35">
      <c r="A3090" t="str">
        <f>"195-7872"</f>
        <v>195-7872</v>
      </c>
    </row>
    <row r="3091" spans="1:1" x14ac:dyDescent="0.35">
      <c r="A3091" t="str">
        <f>"148-9307"</f>
        <v>148-9307</v>
      </c>
    </row>
    <row r="3092" spans="1:1" x14ac:dyDescent="0.35">
      <c r="A3092" t="str">
        <f>"217-4161"</f>
        <v>217-4161</v>
      </c>
    </row>
    <row r="3093" spans="1:1" x14ac:dyDescent="0.35">
      <c r="A3093" t="str">
        <f>"219-9048"</f>
        <v>219-9048</v>
      </c>
    </row>
    <row r="3094" spans="1:1" x14ac:dyDescent="0.35">
      <c r="A3094" t="str">
        <f>"219-9050"</f>
        <v>219-9050</v>
      </c>
    </row>
    <row r="3095" spans="1:1" x14ac:dyDescent="0.35">
      <c r="A3095" t="str">
        <f>"219-9056"</f>
        <v>219-9056</v>
      </c>
    </row>
    <row r="3096" spans="1:1" x14ac:dyDescent="0.35">
      <c r="A3096" t="str">
        <f>"219-9062"</f>
        <v>219-9062</v>
      </c>
    </row>
    <row r="3097" spans="1:1" x14ac:dyDescent="0.35">
      <c r="A3097" t="str">
        <f>"219-9063"</f>
        <v>219-9063</v>
      </c>
    </row>
    <row r="3098" spans="1:1" x14ac:dyDescent="0.35">
      <c r="A3098" t="str">
        <f>"219-9066"</f>
        <v>219-9066</v>
      </c>
    </row>
    <row r="3099" spans="1:1" x14ac:dyDescent="0.35">
      <c r="A3099" t="str">
        <f>"219-9083"</f>
        <v>219-9083</v>
      </c>
    </row>
    <row r="3100" spans="1:1" x14ac:dyDescent="0.35">
      <c r="A3100" t="str">
        <f>"219-9086"</f>
        <v>219-9086</v>
      </c>
    </row>
    <row r="3101" spans="1:1" x14ac:dyDescent="0.35">
      <c r="A3101" t="str">
        <f>"219-9087"</f>
        <v>219-9087</v>
      </c>
    </row>
    <row r="3102" spans="1:1" x14ac:dyDescent="0.35">
      <c r="A3102" t="str">
        <f>"219-9088"</f>
        <v>219-9088</v>
      </c>
    </row>
    <row r="3103" spans="1:1" x14ac:dyDescent="0.35">
      <c r="A3103" t="str">
        <f>"219-9096"</f>
        <v>219-9096</v>
      </c>
    </row>
    <row r="3104" spans="1:1" x14ac:dyDescent="0.35">
      <c r="A3104" t="str">
        <f>"219-9104"</f>
        <v>219-9104</v>
      </c>
    </row>
    <row r="3105" spans="1:1" x14ac:dyDescent="0.35">
      <c r="A3105" t="str">
        <f>"219-9111"</f>
        <v>219-9111</v>
      </c>
    </row>
    <row r="3106" spans="1:1" x14ac:dyDescent="0.35">
      <c r="A3106" t="str">
        <f>"219-9113"</f>
        <v>219-9113</v>
      </c>
    </row>
    <row r="3107" spans="1:1" x14ac:dyDescent="0.35">
      <c r="A3107" t="str">
        <f>"219-9117"</f>
        <v>219-9117</v>
      </c>
    </row>
    <row r="3108" spans="1:1" x14ac:dyDescent="0.35">
      <c r="A3108" t="str">
        <f>"219-9118"</f>
        <v>219-9118</v>
      </c>
    </row>
    <row r="3109" spans="1:1" x14ac:dyDescent="0.35">
      <c r="A3109" t="str">
        <f>"219-9120"</f>
        <v>219-9120</v>
      </c>
    </row>
    <row r="3110" spans="1:1" x14ac:dyDescent="0.35">
      <c r="A3110" t="str">
        <f>"219-9121"</f>
        <v>219-9121</v>
      </c>
    </row>
    <row r="3111" spans="1:1" x14ac:dyDescent="0.35">
      <c r="A3111" t="str">
        <f>"219-9133"</f>
        <v>219-9133</v>
      </c>
    </row>
    <row r="3112" spans="1:1" x14ac:dyDescent="0.35">
      <c r="A3112" t="str">
        <f>"219-9137"</f>
        <v>219-9137</v>
      </c>
    </row>
    <row r="3113" spans="1:1" x14ac:dyDescent="0.35">
      <c r="A3113" t="str">
        <f>"219-9142"</f>
        <v>219-9142</v>
      </c>
    </row>
    <row r="3114" spans="1:1" x14ac:dyDescent="0.35">
      <c r="A3114" t="str">
        <f>"219-9144"</f>
        <v>219-9144</v>
      </c>
    </row>
    <row r="3115" spans="1:1" x14ac:dyDescent="0.35">
      <c r="A3115" t="str">
        <f>"219-9149"</f>
        <v>219-9149</v>
      </c>
    </row>
    <row r="3116" spans="1:1" x14ac:dyDescent="0.35">
      <c r="A3116" t="str">
        <f>"219-9156"</f>
        <v>219-9156</v>
      </c>
    </row>
    <row r="3117" spans="1:1" x14ac:dyDescent="0.35">
      <c r="A3117" t="str">
        <f>"219-9183"</f>
        <v>219-9183</v>
      </c>
    </row>
    <row r="3118" spans="1:1" x14ac:dyDescent="0.35">
      <c r="A3118" t="str">
        <f>"844-8027"</f>
        <v>844-8027</v>
      </c>
    </row>
    <row r="3119" spans="1:1" x14ac:dyDescent="0.35">
      <c r="A3119" t="str">
        <f>"619-1044"</f>
        <v>619-1044</v>
      </c>
    </row>
    <row r="3120" spans="1:1" x14ac:dyDescent="0.35">
      <c r="A3120" t="str">
        <f>"187-3683"</f>
        <v>187-3683</v>
      </c>
    </row>
    <row r="3121" spans="1:1" x14ac:dyDescent="0.35">
      <c r="A3121" t="str">
        <f>"229-9017"</f>
        <v>229-9017</v>
      </c>
    </row>
    <row r="3122" spans="1:1" x14ac:dyDescent="0.35">
      <c r="A3122" t="str">
        <f>"133-0902"</f>
        <v>133-0902</v>
      </c>
    </row>
    <row r="3123" spans="1:1" x14ac:dyDescent="0.35">
      <c r="A3123" t="str">
        <f>"876-0473"</f>
        <v>876-0473</v>
      </c>
    </row>
    <row r="3124" spans="1:1" x14ac:dyDescent="0.35">
      <c r="A3124" t="str">
        <f>"619-2086"</f>
        <v>619-2086</v>
      </c>
    </row>
    <row r="3125" spans="1:1" x14ac:dyDescent="0.35">
      <c r="A3125" t="str">
        <f>"226-6426"</f>
        <v>226-6426</v>
      </c>
    </row>
    <row r="3126" spans="1:1" x14ac:dyDescent="0.35">
      <c r="A3126" t="str">
        <f>"138-2507"</f>
        <v>138-2507</v>
      </c>
    </row>
    <row r="3127" spans="1:1" x14ac:dyDescent="0.35">
      <c r="A3127" t="str">
        <f>"211-5362"</f>
        <v>211-5362</v>
      </c>
    </row>
    <row r="3128" spans="1:1" x14ac:dyDescent="0.35">
      <c r="A3128" t="str">
        <f>"229-3797"</f>
        <v>229-3797</v>
      </c>
    </row>
    <row r="3129" spans="1:1" x14ac:dyDescent="0.35">
      <c r="A3129" t="str">
        <f>"619-8752"</f>
        <v>619-8752</v>
      </c>
    </row>
    <row r="3130" spans="1:1" x14ac:dyDescent="0.35">
      <c r="A3130" t="str">
        <f>"075-8243"</f>
        <v>075-8243</v>
      </c>
    </row>
    <row r="3131" spans="1:1" x14ac:dyDescent="0.35">
      <c r="A3131" t="str">
        <f>"173-6108"</f>
        <v>173-6108</v>
      </c>
    </row>
    <row r="3132" spans="1:1" x14ac:dyDescent="0.35">
      <c r="A3132" t="str">
        <f>"846-8154"</f>
        <v>846-8154</v>
      </c>
    </row>
    <row r="3133" spans="1:1" x14ac:dyDescent="0.35">
      <c r="A3133" t="str">
        <f>"048-1582"</f>
        <v>048-1582</v>
      </c>
    </row>
    <row r="3134" spans="1:1" x14ac:dyDescent="0.35">
      <c r="A3134" t="str">
        <f>"957-2288"</f>
        <v>957-2288</v>
      </c>
    </row>
    <row r="3135" spans="1:1" x14ac:dyDescent="0.35">
      <c r="A3135" t="str">
        <f>"005-3633"</f>
        <v>005-3633</v>
      </c>
    </row>
    <row r="3136" spans="1:1" x14ac:dyDescent="0.35">
      <c r="A3136" t="str">
        <f>"248-9787"</f>
        <v>248-9787</v>
      </c>
    </row>
    <row r="3137" spans="1:1" x14ac:dyDescent="0.35">
      <c r="A3137" t="str">
        <f>"621-6920"</f>
        <v>621-6920</v>
      </c>
    </row>
    <row r="3138" spans="1:1" x14ac:dyDescent="0.35">
      <c r="A3138" t="str">
        <f>"621-8389"</f>
        <v>621-8389</v>
      </c>
    </row>
    <row r="3139" spans="1:1" x14ac:dyDescent="0.35">
      <c r="A3139" t="str">
        <f>"102-5055"</f>
        <v>102-5055</v>
      </c>
    </row>
    <row r="3140" spans="1:1" x14ac:dyDescent="0.35">
      <c r="A3140" t="str">
        <f>"985-8297"</f>
        <v>985-8297</v>
      </c>
    </row>
    <row r="3141" spans="1:1" x14ac:dyDescent="0.35">
      <c r="A3141" t="str">
        <f>"945-4875"</f>
        <v>945-4875</v>
      </c>
    </row>
    <row r="3142" spans="1:1" x14ac:dyDescent="0.35">
      <c r="A3142" t="str">
        <f>"237-6987"</f>
        <v>237-6987</v>
      </c>
    </row>
    <row r="3143" spans="1:1" x14ac:dyDescent="0.35">
      <c r="A3143" t="str">
        <f>"238-1170"</f>
        <v>238-1170</v>
      </c>
    </row>
    <row r="3144" spans="1:1" x14ac:dyDescent="0.35">
      <c r="A3144" t="str">
        <f>"197-9084"</f>
        <v>197-9084</v>
      </c>
    </row>
    <row r="3145" spans="1:1" x14ac:dyDescent="0.35">
      <c r="A3145" t="str">
        <f>"097-3721"</f>
        <v>097-3721</v>
      </c>
    </row>
    <row r="3146" spans="1:1" x14ac:dyDescent="0.35">
      <c r="A3146" t="str">
        <f>"239-1280"</f>
        <v>239-1280</v>
      </c>
    </row>
    <row r="3147" spans="1:1" x14ac:dyDescent="0.35">
      <c r="A3147" t="str">
        <f>"239-9122"</f>
        <v>239-9122</v>
      </c>
    </row>
    <row r="3148" spans="1:1" x14ac:dyDescent="0.35">
      <c r="A3148" t="str">
        <f>"239-9129"</f>
        <v>239-9129</v>
      </c>
    </row>
    <row r="3149" spans="1:1" x14ac:dyDescent="0.35">
      <c r="A3149" t="str">
        <f>"244-0819"</f>
        <v>244-0819</v>
      </c>
    </row>
    <row r="3150" spans="1:1" x14ac:dyDescent="0.35">
      <c r="A3150" t="str">
        <f>"206-8054"</f>
        <v>206-8054</v>
      </c>
    </row>
    <row r="3151" spans="1:1" x14ac:dyDescent="0.35">
      <c r="A3151" t="str">
        <f>"249-9032"</f>
        <v>249-9032</v>
      </c>
    </row>
    <row r="3152" spans="1:1" x14ac:dyDescent="0.35">
      <c r="A3152" t="str">
        <f>"974-1155"</f>
        <v>974-1155</v>
      </c>
    </row>
    <row r="3153" spans="1:1" x14ac:dyDescent="0.35">
      <c r="A3153" t="str">
        <f>"629-8793"</f>
        <v>629-8793</v>
      </c>
    </row>
    <row r="3154" spans="1:1" x14ac:dyDescent="0.35">
      <c r="A3154" t="str">
        <f>"836-2045"</f>
        <v>836-2045</v>
      </c>
    </row>
    <row r="3155" spans="1:1" x14ac:dyDescent="0.35">
      <c r="A3155" t="str">
        <f>"129-1520"</f>
        <v>129-1520</v>
      </c>
    </row>
    <row r="3156" spans="1:1" x14ac:dyDescent="0.35">
      <c r="A3156" t="str">
        <f>"121-4404"</f>
        <v>121-4404</v>
      </c>
    </row>
    <row r="3157" spans="1:1" x14ac:dyDescent="0.35">
      <c r="A3157" t="str">
        <f>"632-2769"</f>
        <v>632-2769</v>
      </c>
    </row>
    <row r="3158" spans="1:1" x14ac:dyDescent="0.35">
      <c r="A3158" t="str">
        <f>"226-4582"</f>
        <v>226-4582</v>
      </c>
    </row>
    <row r="3159" spans="1:1" x14ac:dyDescent="0.35">
      <c r="A3159" t="str">
        <f>"629-9159"</f>
        <v>629-9159</v>
      </c>
    </row>
    <row r="3160" spans="1:1" x14ac:dyDescent="0.35">
      <c r="A3160" t="str">
        <f>"072-7947"</f>
        <v>072-7947</v>
      </c>
    </row>
    <row r="3161" spans="1:1" x14ac:dyDescent="0.35">
      <c r="A3161" t="str">
        <f>"632-9992"</f>
        <v>632-9992</v>
      </c>
    </row>
    <row r="3162" spans="1:1" x14ac:dyDescent="0.35">
      <c r="A3162" t="str">
        <f>"633-7705"</f>
        <v>633-7705</v>
      </c>
    </row>
    <row r="3163" spans="1:1" x14ac:dyDescent="0.35">
      <c r="A3163" t="str">
        <f>"188-4867"</f>
        <v>188-4867</v>
      </c>
    </row>
    <row r="3164" spans="1:1" x14ac:dyDescent="0.35">
      <c r="A3164" t="str">
        <f>"218-6186"</f>
        <v>218-6186</v>
      </c>
    </row>
    <row r="3165" spans="1:1" x14ac:dyDescent="0.35">
      <c r="A3165" t="str">
        <f>"625-3693"</f>
        <v>625-3693</v>
      </c>
    </row>
    <row r="3166" spans="1:1" x14ac:dyDescent="0.35">
      <c r="A3166" t="str">
        <f>"623-8078"</f>
        <v>623-8078</v>
      </c>
    </row>
    <row r="3167" spans="1:1" x14ac:dyDescent="0.35">
      <c r="A3167" t="str">
        <f>"633-3750"</f>
        <v>633-3750</v>
      </c>
    </row>
    <row r="3168" spans="1:1" x14ac:dyDescent="0.35">
      <c r="A3168" t="str">
        <f>"234-3267"</f>
        <v>234-3267</v>
      </c>
    </row>
    <row r="3169" spans="1:1" x14ac:dyDescent="0.35">
      <c r="A3169" t="str">
        <f>"206-6762"</f>
        <v>206-6762</v>
      </c>
    </row>
  </sheetData>
  <sortState xmlns:xlrd2="http://schemas.microsoft.com/office/spreadsheetml/2017/richdata2" ref="A2:M3169">
    <sortCondition ref="M2:M31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RPETU023 - Liste détudiants 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Akrour</dc:creator>
  <cp:lastModifiedBy>Ahmed Akrour</cp:lastModifiedBy>
  <dcterms:created xsi:type="dcterms:W3CDTF">2024-10-03T19:12:36Z</dcterms:created>
  <dcterms:modified xsi:type="dcterms:W3CDTF">2024-10-03T19:35:08Z</dcterms:modified>
</cp:coreProperties>
</file>